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RODRIGO\PROJETOS\INTERCEPTOR SANTA MARIA DO LEME\AQUIVOS PARA LICITAÇÃO proc 2371_2025\"/>
    </mc:Choice>
  </mc:AlternateContent>
  <bookViews>
    <workbookView xWindow="0" yWindow="0" windowWidth="28800" windowHeight="12435" tabRatio="490" firstSheet="1" activeTab="1"/>
  </bookViews>
  <sheets>
    <sheet name="DADOS" sheetId="10" state="hidden" r:id="rId1"/>
    <sheet name="ANEXO II - Orçamento" sheetId="1" r:id="rId2"/>
    <sheet name="ANEXO II-B - BDI" sheetId="13" r:id="rId3"/>
    <sheet name="ANEXO II-A - CFF" sheetId="16" r:id="rId4"/>
    <sheet name="ANEXO VI-A - Mem. complementar" sheetId="15" r:id="rId5"/>
    <sheet name="ANEXO II-B.2" sheetId="14" state="hidden" r:id="rId6"/>
  </sheets>
  <externalReferences>
    <externalReference r:id="rId7"/>
    <externalReference r:id="rId8"/>
    <externalReference r:id="rId9"/>
  </externalReferences>
  <definedNames>
    <definedName name="AC">DADOS!$A$12:$D$18</definedName>
    <definedName name="_xlnm.Print_Area" localSheetId="1">'ANEXO II - Orçamento'!$A$1:$K$68</definedName>
    <definedName name="_xlnm.Print_Area" localSheetId="3">'ANEXO II-A - CFF'!$A$1:$H$24</definedName>
    <definedName name="_xlnm.Print_Area" localSheetId="2">'ANEXO II-B - BDI'!$A$1:$H$65</definedName>
    <definedName name="_xlnm.Print_Area" localSheetId="5">'ANEXO II-B.2'!$A$1:$J$20</definedName>
    <definedName name="_xlnm.Print_Area" localSheetId="4">'ANEXO VI-A - Mem. complementar'!$A$1:$R$59,'ANEXO VI-A - Mem. complementar'!$T$1:$AI$59</definedName>
    <definedName name="BDI.Opcao" hidden="1">[1]DADOS!$F$18</definedName>
    <definedName name="BDI.TipoObra" hidden="1">[1]BDI!$A$138:$A$146</definedName>
    <definedName name="DESONERACAO" hidden="1">IF(OR(Import.Desoneracao="DESONERADO",Import.Desoneracao="SIM"),"SIM","NÃO")</definedName>
    <definedName name="DF">DADOS!$A$36:$D$42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OFFSET([1]DADOS!$G$18,0,-1)</definedName>
    <definedName name="LUCRO">DADOS!$A$44:$D$50</definedName>
    <definedName name="PLANILHA">'[2]ESTIMATIVA DE CUSTOS'!$A$5:$J$81</definedName>
    <definedName name="PO">'ANEXO II - Orçamento'!$A$15:$K$64</definedName>
    <definedName name="RISCO">DADOS!$A$28:$D$34</definedName>
    <definedName name="SG">DADOS!$A$20:$D$26</definedName>
    <definedName name="TIP_OBRA">DADOS!$A$4:$A$9</definedName>
    <definedName name="_xlnm.Print_Titles" localSheetId="1">'ANEXO II - Orçamento'!$14:$14</definedName>
    <definedName name="_xlnm.Print_Titles" localSheetId="5">'ANEXO II-B.2'!$14:$14</definedName>
    <definedName name="_xlnm.Print_Titles" localSheetId="4">'ANEXO VI-A - Mem. complementar'!$1:$8</definedName>
    <definedName name="VALOR_BDI">DADOS!$A$4:$D$9</definedName>
  </definedNames>
  <calcPr calcId="152511"/>
</workbook>
</file>

<file path=xl/calcChain.xml><?xml version="1.0" encoding="utf-8"?>
<calcChain xmlns="http://schemas.openxmlformats.org/spreadsheetml/2006/main">
  <c r="F12" i="1" l="1"/>
  <c r="F25" i="13"/>
  <c r="B13" i="16"/>
  <c r="N59" i="1" l="1"/>
  <c r="F59" i="1" s="1"/>
  <c r="D15" i="16" l="1"/>
  <c r="D11" i="16"/>
  <c r="B15" i="16"/>
  <c r="C15" i="16"/>
  <c r="M63" i="1"/>
  <c r="F63" i="1" s="1"/>
  <c r="M62" i="1"/>
  <c r="M61" i="1"/>
  <c r="M24" i="1" l="1"/>
  <c r="F24" i="1" s="1"/>
  <c r="M23" i="1"/>
  <c r="B59" i="15" l="1"/>
  <c r="AI59" i="15"/>
  <c r="AH59" i="15"/>
  <c r="Y57" i="15"/>
  <c r="W58" i="15"/>
  <c r="V58" i="15"/>
  <c r="L58" i="15"/>
  <c r="X58" i="15" s="1"/>
  <c r="D58" i="15"/>
  <c r="W57" i="15"/>
  <c r="V57" i="15"/>
  <c r="U57" i="15"/>
  <c r="T57" i="15"/>
  <c r="L57" i="15"/>
  <c r="X57" i="15" s="1"/>
  <c r="I57" i="15"/>
  <c r="R57" i="15"/>
  <c r="D57" i="15"/>
  <c r="AF57" i="15" l="1"/>
  <c r="AF59" i="15" s="1"/>
  <c r="N57" i="15"/>
  <c r="AG57" i="15"/>
  <c r="AG59" i="15" s="1"/>
  <c r="Z57" i="15"/>
  <c r="Z59" i="15" s="1"/>
  <c r="AC57" i="15"/>
  <c r="F57" i="15"/>
  <c r="AA57" i="15"/>
  <c r="AE57" i="15"/>
  <c r="AE59" i="15" s="1"/>
  <c r="AB57" i="15"/>
  <c r="T13" i="15"/>
  <c r="T9" i="15"/>
  <c r="W56" i="15"/>
  <c r="V56" i="15"/>
  <c r="W55" i="15"/>
  <c r="V55" i="15"/>
  <c r="W54" i="15"/>
  <c r="V54" i="15"/>
  <c r="W53" i="15"/>
  <c r="V53" i="15"/>
  <c r="W52" i="15"/>
  <c r="V52" i="15"/>
  <c r="W51" i="15"/>
  <c r="V51" i="15"/>
  <c r="W50" i="15"/>
  <c r="V50" i="15"/>
  <c r="W49" i="15"/>
  <c r="V49" i="15"/>
  <c r="W48" i="15"/>
  <c r="V48" i="15"/>
  <c r="W47" i="15"/>
  <c r="V47" i="15"/>
  <c r="W46" i="15"/>
  <c r="V46" i="15"/>
  <c r="W45" i="15"/>
  <c r="V45" i="15"/>
  <c r="W44" i="15"/>
  <c r="V44" i="15"/>
  <c r="W43" i="15"/>
  <c r="V43" i="15"/>
  <c r="W42" i="15"/>
  <c r="V42" i="15"/>
  <c r="W41" i="15"/>
  <c r="V41" i="15"/>
  <c r="W40" i="15"/>
  <c r="V40" i="15"/>
  <c r="W39" i="15"/>
  <c r="V39" i="15"/>
  <c r="W38" i="15"/>
  <c r="V38" i="15"/>
  <c r="W37" i="15"/>
  <c r="V37" i="15"/>
  <c r="W36" i="15"/>
  <c r="V36" i="15"/>
  <c r="W35" i="15"/>
  <c r="V35" i="15"/>
  <c r="W34" i="15"/>
  <c r="V34" i="15"/>
  <c r="W33" i="15"/>
  <c r="V33" i="15"/>
  <c r="W32" i="15"/>
  <c r="V32" i="15"/>
  <c r="W31" i="15"/>
  <c r="V31" i="15"/>
  <c r="W30" i="15"/>
  <c r="V30" i="15"/>
  <c r="W29" i="15"/>
  <c r="V29" i="15"/>
  <c r="W28" i="15"/>
  <c r="V28" i="15"/>
  <c r="W27" i="15"/>
  <c r="V27" i="15"/>
  <c r="W26" i="15"/>
  <c r="V26" i="15"/>
  <c r="W25" i="15"/>
  <c r="V25" i="15"/>
  <c r="W24" i="15"/>
  <c r="V24" i="15"/>
  <c r="W23" i="15"/>
  <c r="V23" i="15"/>
  <c r="W22" i="15"/>
  <c r="V22" i="15"/>
  <c r="W21" i="15"/>
  <c r="V21" i="15"/>
  <c r="W20" i="15"/>
  <c r="V20" i="15"/>
  <c r="W19" i="15"/>
  <c r="V19" i="15"/>
  <c r="W18" i="15"/>
  <c r="V18" i="15"/>
  <c r="W17" i="15"/>
  <c r="V17" i="15"/>
  <c r="W16" i="15"/>
  <c r="V16" i="15"/>
  <c r="W15" i="15"/>
  <c r="V15" i="15"/>
  <c r="W11" i="15"/>
  <c r="W12" i="15"/>
  <c r="V12" i="15"/>
  <c r="V11" i="15"/>
  <c r="U11" i="15"/>
  <c r="U15" i="15"/>
  <c r="U17" i="15"/>
  <c r="U19" i="15"/>
  <c r="U21" i="15"/>
  <c r="U23" i="15"/>
  <c r="U25" i="15"/>
  <c r="U27" i="15"/>
  <c r="U29" i="15"/>
  <c r="U31" i="15"/>
  <c r="U33" i="15"/>
  <c r="U35" i="15"/>
  <c r="U37" i="15"/>
  <c r="U39" i="15"/>
  <c r="U41" i="15"/>
  <c r="U43" i="15"/>
  <c r="U45" i="15"/>
  <c r="U47" i="15"/>
  <c r="U49" i="15"/>
  <c r="U51" i="15"/>
  <c r="U53" i="15"/>
  <c r="U55" i="15"/>
  <c r="T55" i="15"/>
  <c r="T53" i="15"/>
  <c r="T51" i="15"/>
  <c r="T49" i="15"/>
  <c r="T47" i="15"/>
  <c r="T45" i="15"/>
  <c r="T43" i="15"/>
  <c r="T41" i="15"/>
  <c r="T39" i="15"/>
  <c r="T37" i="15"/>
  <c r="T35" i="15"/>
  <c r="T33" i="15"/>
  <c r="T31" i="15"/>
  <c r="T29" i="15"/>
  <c r="T27" i="15"/>
  <c r="T25" i="15"/>
  <c r="T23" i="15"/>
  <c r="T21" i="15"/>
  <c r="T19" i="15"/>
  <c r="T17" i="15"/>
  <c r="T15" i="15"/>
  <c r="T11" i="15"/>
  <c r="H48" i="13"/>
  <c r="G48" i="13"/>
  <c r="F48" i="13"/>
  <c r="H47" i="13"/>
  <c r="G47" i="13"/>
  <c r="F47" i="13"/>
  <c r="H46" i="13"/>
  <c r="G46" i="13"/>
  <c r="D54" i="10"/>
  <c r="AD57" i="15" l="1"/>
  <c r="AD59" i="15" s="1"/>
  <c r="AA59" i="15"/>
  <c r="G57" i="15"/>
  <c r="M57" i="15" s="1"/>
  <c r="O57" i="15" s="1"/>
  <c r="E58" i="15"/>
  <c r="F58" i="15" s="1"/>
  <c r="G58" i="15" s="1"/>
  <c r="M58" i="15" s="1"/>
  <c r="F46" i="13"/>
  <c r="H45" i="13"/>
  <c r="G45" i="13"/>
  <c r="F45" i="13"/>
  <c r="H44" i="13"/>
  <c r="G44" i="13"/>
  <c r="F44" i="13"/>
  <c r="G25" i="13"/>
  <c r="D40" i="1"/>
  <c r="D38" i="1"/>
  <c r="D29" i="1"/>
  <c r="D23" i="1"/>
  <c r="O58" i="15" l="1"/>
  <c r="Q57" i="15"/>
  <c r="P57" i="15"/>
  <c r="D52" i="13"/>
  <c r="F52" i="13"/>
  <c r="G52" i="13"/>
  <c r="H52" i="13"/>
  <c r="D53" i="13"/>
  <c r="G12" i="1" l="1"/>
  <c r="AI15" i="15"/>
  <c r="AI16" i="15"/>
  <c r="AH15" i="15"/>
  <c r="AH16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17" i="15"/>
  <c r="M16" i="1" l="1"/>
  <c r="M19" i="1"/>
  <c r="M20" i="1" l="1"/>
  <c r="M21" i="1" s="1"/>
  <c r="A23" i="16"/>
  <c r="G5" i="16"/>
  <c r="B11" i="16"/>
  <c r="B9" i="16"/>
  <c r="F44" i="1" l="1"/>
  <c r="M40" i="1" l="1"/>
  <c r="F40" i="1" l="1"/>
  <c r="M26" i="1"/>
  <c r="R11" i="15"/>
  <c r="L18" i="15"/>
  <c r="D18" i="15"/>
  <c r="L17" i="15"/>
  <c r="X17" i="15" s="1"/>
  <c r="I17" i="15"/>
  <c r="D17" i="15"/>
  <c r="L12" i="15"/>
  <c r="D12" i="15"/>
  <c r="L11" i="15"/>
  <c r="X11" i="15" s="1"/>
  <c r="I11" i="15"/>
  <c r="D11" i="15"/>
  <c r="F11" i="15" s="1"/>
  <c r="E12" i="15" s="1"/>
  <c r="L16" i="15"/>
  <c r="D16" i="15"/>
  <c r="L15" i="15"/>
  <c r="X15" i="15" s="1"/>
  <c r="I15" i="15"/>
  <c r="D15" i="15"/>
  <c r="N15" i="15" l="1"/>
  <c r="X16" i="15"/>
  <c r="N11" i="15"/>
  <c r="X12" i="15"/>
  <c r="N17" i="15"/>
  <c r="X18" i="15"/>
  <c r="Y17" i="15"/>
  <c r="AF17" i="15" s="1"/>
  <c r="Y15" i="15"/>
  <c r="Z15" i="15" s="1"/>
  <c r="M27" i="1"/>
  <c r="M18" i="1"/>
  <c r="Y11" i="15"/>
  <c r="Z11" i="15" s="1"/>
  <c r="AE17" i="15"/>
  <c r="Z17" i="15"/>
  <c r="AB17" i="15"/>
  <c r="AG17" i="15"/>
  <c r="F12" i="15"/>
  <c r="G11" i="15"/>
  <c r="M11" i="15" s="1"/>
  <c r="O11" i="15" s="1"/>
  <c r="L56" i="15"/>
  <c r="L55" i="15"/>
  <c r="X55" i="15" s="1"/>
  <c r="L54" i="15"/>
  <c r="L53" i="15"/>
  <c r="X53" i="15" s="1"/>
  <c r="L52" i="15"/>
  <c r="L51" i="15"/>
  <c r="X51" i="15" s="1"/>
  <c r="L50" i="15"/>
  <c r="L49" i="15"/>
  <c r="X49" i="15" s="1"/>
  <c r="L48" i="15"/>
  <c r="L47" i="15"/>
  <c r="X47" i="15" s="1"/>
  <c r="L46" i="15"/>
  <c r="L45" i="15"/>
  <c r="X45" i="15" s="1"/>
  <c r="L44" i="15"/>
  <c r="L43" i="15"/>
  <c r="X43" i="15" s="1"/>
  <c r="L42" i="15"/>
  <c r="L41" i="15"/>
  <c r="X41" i="15" s="1"/>
  <c r="L40" i="15"/>
  <c r="L39" i="15"/>
  <c r="X39" i="15" s="1"/>
  <c r="L38" i="15"/>
  <c r="L37" i="15"/>
  <c r="X37" i="15" s="1"/>
  <c r="L36" i="15"/>
  <c r="L35" i="15"/>
  <c r="X35" i="15" s="1"/>
  <c r="L34" i="15"/>
  <c r="L33" i="15"/>
  <c r="X33" i="15" s="1"/>
  <c r="L32" i="15"/>
  <c r="L31" i="15"/>
  <c r="X31" i="15" s="1"/>
  <c r="L30" i="15"/>
  <c r="X30" i="15" s="1"/>
  <c r="L29" i="15"/>
  <c r="X29" i="15" s="1"/>
  <c r="L28" i="15"/>
  <c r="L27" i="15"/>
  <c r="X27" i="15" s="1"/>
  <c r="L26" i="15"/>
  <c r="L25" i="15"/>
  <c r="X25" i="15" s="1"/>
  <c r="D56" i="15"/>
  <c r="I55" i="15"/>
  <c r="D55" i="15"/>
  <c r="D54" i="15"/>
  <c r="I53" i="15"/>
  <c r="D53" i="15"/>
  <c r="D52" i="15"/>
  <c r="I51" i="15"/>
  <c r="D51" i="15"/>
  <c r="D50" i="15"/>
  <c r="I49" i="15"/>
  <c r="D49" i="15"/>
  <c r="D48" i="15"/>
  <c r="I47" i="15"/>
  <c r="D47" i="15"/>
  <c r="D46" i="15"/>
  <c r="I45" i="15"/>
  <c r="D45" i="15"/>
  <c r="D44" i="15"/>
  <c r="I43" i="15"/>
  <c r="D43" i="15"/>
  <c r="D42" i="15"/>
  <c r="I41" i="15"/>
  <c r="D41" i="15"/>
  <c r="D40" i="15"/>
  <c r="I39" i="15"/>
  <c r="D39" i="15"/>
  <c r="D38" i="15"/>
  <c r="I37" i="15"/>
  <c r="D37" i="15"/>
  <c r="D36" i="15"/>
  <c r="I35" i="15"/>
  <c r="D35" i="15"/>
  <c r="D34" i="15"/>
  <c r="I33" i="15"/>
  <c r="D33" i="15"/>
  <c r="D32" i="15"/>
  <c r="I31" i="15"/>
  <c r="D31" i="15"/>
  <c r="D30" i="15"/>
  <c r="I29" i="15"/>
  <c r="D29" i="15"/>
  <c r="D28" i="15"/>
  <c r="I27" i="15"/>
  <c r="D27" i="15"/>
  <c r="D26" i="15"/>
  <c r="I25" i="15"/>
  <c r="D25" i="15"/>
  <c r="L24" i="15"/>
  <c r="D24" i="15"/>
  <c r="L23" i="15"/>
  <c r="X23" i="15" s="1"/>
  <c r="I23" i="15"/>
  <c r="D23" i="15"/>
  <c r="L22" i="15"/>
  <c r="D22" i="15"/>
  <c r="L21" i="15"/>
  <c r="X21" i="15" s="1"/>
  <c r="I21" i="15"/>
  <c r="D21" i="15"/>
  <c r="L20" i="15"/>
  <c r="D20" i="15"/>
  <c r="L19" i="15"/>
  <c r="X19" i="15" s="1"/>
  <c r="D19" i="15"/>
  <c r="AG15" i="15" l="1"/>
  <c r="AC17" i="15"/>
  <c r="AA17" i="15"/>
  <c r="AD17" i="15" s="1"/>
  <c r="N19" i="15"/>
  <c r="X20" i="15"/>
  <c r="N21" i="15"/>
  <c r="X22" i="15"/>
  <c r="N25" i="15"/>
  <c r="X26" i="15"/>
  <c r="N33" i="15"/>
  <c r="X34" i="15"/>
  <c r="N37" i="15"/>
  <c r="X38" i="15"/>
  <c r="N41" i="15"/>
  <c r="X42" i="15"/>
  <c r="N45" i="15"/>
  <c r="X46" i="15"/>
  <c r="N49" i="15"/>
  <c r="X50" i="15"/>
  <c r="N53" i="15"/>
  <c r="X54" i="15"/>
  <c r="N23" i="15"/>
  <c r="X24" i="15"/>
  <c r="N29" i="15"/>
  <c r="N27" i="15"/>
  <c r="X28" i="15"/>
  <c r="N31" i="15"/>
  <c r="X32" i="15"/>
  <c r="N35" i="15"/>
  <c r="X36" i="15"/>
  <c r="N39" i="15"/>
  <c r="X40" i="15"/>
  <c r="N43" i="15"/>
  <c r="X44" i="15"/>
  <c r="N47" i="15"/>
  <c r="X48" i="15"/>
  <c r="N51" i="15"/>
  <c r="X52" i="15"/>
  <c r="N55" i="15"/>
  <c r="X56" i="15"/>
  <c r="Y23" i="15"/>
  <c r="AC11" i="15"/>
  <c r="AA11" i="15"/>
  <c r="AD11" i="15" s="1"/>
  <c r="Y27" i="15"/>
  <c r="AE27" i="15" s="1"/>
  <c r="Y31" i="15"/>
  <c r="AA31" i="15" s="1"/>
  <c r="AD31" i="15" s="1"/>
  <c r="Y35" i="15"/>
  <c r="AE35" i="15" s="1"/>
  <c r="Y39" i="15"/>
  <c r="AA39" i="15" s="1"/>
  <c r="AD39" i="15" s="1"/>
  <c r="Y43" i="15"/>
  <c r="AE43" i="15" s="1"/>
  <c r="Y47" i="15"/>
  <c r="AE47" i="15" s="1"/>
  <c r="Y51" i="15"/>
  <c r="AE51" i="15" s="1"/>
  <c r="Y55" i="15"/>
  <c r="AA55" i="15" s="1"/>
  <c r="AD55" i="15" s="1"/>
  <c r="AG11" i="15"/>
  <c r="Y19" i="15"/>
  <c r="Y21" i="15"/>
  <c r="AA21" i="15" s="1"/>
  <c r="AD21" i="15" s="1"/>
  <c r="Y25" i="15"/>
  <c r="AG25" i="15" s="1"/>
  <c r="Y29" i="15"/>
  <c r="AB29" i="15" s="1"/>
  <c r="Y33" i="15"/>
  <c r="Z33" i="15" s="1"/>
  <c r="Y37" i="15"/>
  <c r="AC37" i="15" s="1"/>
  <c r="Y41" i="15"/>
  <c r="AF41" i="15" s="1"/>
  <c r="Y45" i="15"/>
  <c r="Z45" i="15" s="1"/>
  <c r="Y49" i="15"/>
  <c r="AF49" i="15" s="1"/>
  <c r="Y53" i="15"/>
  <c r="AA53" i="15" s="1"/>
  <c r="AD53" i="15" s="1"/>
  <c r="AB11" i="15"/>
  <c r="AG49" i="15"/>
  <c r="AF15" i="15"/>
  <c r="AA15" i="15"/>
  <c r="AD15" i="15" s="1"/>
  <c r="AC15" i="15"/>
  <c r="AB15" i="15"/>
  <c r="G12" i="15"/>
  <c r="M12" i="15" s="1"/>
  <c r="P11" i="15" s="1"/>
  <c r="E15" i="15"/>
  <c r="AE15" i="15"/>
  <c r="AF11" i="15"/>
  <c r="AE11" i="15"/>
  <c r="AC47" i="15"/>
  <c r="AB47" i="15"/>
  <c r="Z21" i="15"/>
  <c r="AC23" i="15"/>
  <c r="AA23" i="15"/>
  <c r="AD23" i="15" s="1"/>
  <c r="AB23" i="15"/>
  <c r="Z23" i="15"/>
  <c r="AA33" i="15"/>
  <c r="AD33" i="15" s="1"/>
  <c r="AB33" i="15"/>
  <c r="AB49" i="15"/>
  <c r="AC33" i="15"/>
  <c r="I19" i="15"/>
  <c r="AB21" i="15" l="1"/>
  <c r="AC55" i="15"/>
  <c r="AB55" i="15"/>
  <c r="AF55" i="15"/>
  <c r="AC53" i="15"/>
  <c r="AB53" i="15"/>
  <c r="Z53" i="15"/>
  <c r="AC51" i="15"/>
  <c r="AG51" i="15"/>
  <c r="AF51" i="15"/>
  <c r="AA51" i="15"/>
  <c r="AD51" i="15" s="1"/>
  <c r="AC49" i="15"/>
  <c r="AA49" i="15"/>
  <c r="AD49" i="15" s="1"/>
  <c r="AE49" i="15"/>
  <c r="AC45" i="15"/>
  <c r="AB45" i="15"/>
  <c r="AA45" i="15"/>
  <c r="AD45" i="15" s="1"/>
  <c r="AC43" i="15"/>
  <c r="Z43" i="15"/>
  <c r="AG43" i="15"/>
  <c r="AA41" i="15"/>
  <c r="AD41" i="15" s="1"/>
  <c r="AG41" i="15"/>
  <c r="AB39" i="15"/>
  <c r="AC39" i="15"/>
  <c r="AF39" i="15"/>
  <c r="AB37" i="15"/>
  <c r="Z37" i="15"/>
  <c r="AA37" i="15"/>
  <c r="AD37" i="15" s="1"/>
  <c r="AF35" i="15"/>
  <c r="AB35" i="15"/>
  <c r="AG35" i="15"/>
  <c r="AC35" i="15"/>
  <c r="AB31" i="15"/>
  <c r="AE31" i="15"/>
  <c r="AF31" i="15"/>
  <c r="AC31" i="15"/>
  <c r="Z29" i="15"/>
  <c r="AC29" i="15"/>
  <c r="AA29" i="15"/>
  <c r="AD29" i="15" s="1"/>
  <c r="AB27" i="15"/>
  <c r="AC27" i="15"/>
  <c r="AF27" i="15"/>
  <c r="AA25" i="15"/>
  <c r="AD25" i="15" s="1"/>
  <c r="AE25" i="15"/>
  <c r="AC21" i="15"/>
  <c r="AC41" i="15"/>
  <c r="AB41" i="15"/>
  <c r="Z51" i="15"/>
  <c r="AB43" i="15"/>
  <c r="Z31" i="15"/>
  <c r="Z55" i="15"/>
  <c r="Z47" i="15"/>
  <c r="Z35" i="15"/>
  <c r="AA27" i="15"/>
  <c r="AD27" i="15" s="1"/>
  <c r="Z39" i="15"/>
  <c r="AG33" i="15"/>
  <c r="AE55" i="15"/>
  <c r="AE39" i="15"/>
  <c r="AE33" i="15"/>
  <c r="Z25" i="15"/>
  <c r="Z49" i="15"/>
  <c r="Z41" i="15"/>
  <c r="AG55" i="15"/>
  <c r="AG47" i="15"/>
  <c r="AG39" i="15"/>
  <c r="AG31" i="15"/>
  <c r="AF25" i="15"/>
  <c r="AE41" i="15"/>
  <c r="AC25" i="15"/>
  <c r="AB25" i="15"/>
  <c r="AB51" i="15"/>
  <c r="AA43" i="15"/>
  <c r="AD43" i="15" s="1"/>
  <c r="AA47" i="15"/>
  <c r="AD47" i="15" s="1"/>
  <c r="AA35" i="15"/>
  <c r="AD35" i="15" s="1"/>
  <c r="Z27" i="15"/>
  <c r="AG27" i="15"/>
  <c r="AF47" i="15"/>
  <c r="AF33" i="15"/>
  <c r="AF43" i="15"/>
  <c r="AF53" i="15"/>
  <c r="AE53" i="15"/>
  <c r="AG53" i="15"/>
  <c r="AG23" i="15"/>
  <c r="AF23" i="15"/>
  <c r="AE23" i="15"/>
  <c r="AF45" i="15"/>
  <c r="AE45" i="15"/>
  <c r="AG45" i="15"/>
  <c r="AF19" i="15"/>
  <c r="AE19" i="15"/>
  <c r="AG19" i="15"/>
  <c r="AF37" i="15"/>
  <c r="AE37" i="15"/>
  <c r="AG37" i="15"/>
  <c r="AF29" i="15"/>
  <c r="AE29" i="15"/>
  <c r="AG29" i="15"/>
  <c r="AG21" i="15"/>
  <c r="AF21" i="15"/>
  <c r="AE21" i="15"/>
  <c r="Q11" i="15"/>
  <c r="O12" i="15"/>
  <c r="R15" i="15"/>
  <c r="F15" i="15"/>
  <c r="AC19" i="15"/>
  <c r="AA19" i="15"/>
  <c r="AB19" i="15"/>
  <c r="Z19" i="15"/>
  <c r="M36" i="1" l="1"/>
  <c r="M53" i="1" s="1"/>
  <c r="AB59" i="15"/>
  <c r="AC59" i="15"/>
  <c r="M47" i="1"/>
  <c r="M51" i="1" s="1"/>
  <c r="M37" i="1"/>
  <c r="AD19" i="15"/>
  <c r="M38" i="1" s="1"/>
  <c r="F38" i="1" s="1"/>
  <c r="M49" i="1"/>
  <c r="M48" i="1"/>
  <c r="E16" i="15"/>
  <c r="F16" i="15" s="1"/>
  <c r="G15" i="15"/>
  <c r="M15" i="15" s="1"/>
  <c r="O15" i="15" s="1"/>
  <c r="M54" i="1" l="1"/>
  <c r="F54" i="1" s="1"/>
  <c r="M41" i="1"/>
  <c r="M50" i="1"/>
  <c r="F50" i="1" s="1"/>
  <c r="E17" i="15"/>
  <c r="G16" i="15"/>
  <c r="M16" i="15" s="1"/>
  <c r="F51" i="1"/>
  <c r="F41" i="1" l="1"/>
  <c r="M42" i="1"/>
  <c r="F42" i="1" s="1"/>
  <c r="P15" i="15"/>
  <c r="Q15" i="15"/>
  <c r="O16" i="15"/>
  <c r="R17" i="15"/>
  <c r="F17" i="15"/>
  <c r="E16" i="14"/>
  <c r="E15" i="14"/>
  <c r="G17" i="15" l="1"/>
  <c r="M17" i="15" s="1"/>
  <c r="O17" i="15" s="1"/>
  <c r="E18" i="15"/>
  <c r="F18" i="15" s="1"/>
  <c r="G16" i="14"/>
  <c r="G15" i="14"/>
  <c r="G18" i="15" l="1"/>
  <c r="M18" i="15" s="1"/>
  <c r="O18" i="15" s="1"/>
  <c r="E19" i="15"/>
  <c r="A19" i="14"/>
  <c r="J12" i="14"/>
  <c r="J9" i="14"/>
  <c r="A12" i="14"/>
  <c r="A9" i="14"/>
  <c r="I118" i="14"/>
  <c r="M6" i="14"/>
  <c r="R19" i="15" l="1"/>
  <c r="F19" i="15"/>
  <c r="Q17" i="15"/>
  <c r="P17" i="15"/>
  <c r="J15" i="14"/>
  <c r="J16" i="14"/>
  <c r="E20" i="15" l="1"/>
  <c r="F20" i="15" s="1"/>
  <c r="G19" i="15"/>
  <c r="M19" i="15" s="1"/>
  <c r="O19" i="15" s="1"/>
  <c r="G20" i="15" l="1"/>
  <c r="M20" i="15" s="1"/>
  <c r="E21" i="15"/>
  <c r="R21" i="15" l="1"/>
  <c r="F21" i="15"/>
  <c r="P19" i="15"/>
  <c r="Q19" i="15"/>
  <c r="O20" i="15"/>
  <c r="G21" i="15" l="1"/>
  <c r="M21" i="15" s="1"/>
  <c r="O21" i="15" s="1"/>
  <c r="E22" i="15"/>
  <c r="F22" i="15" s="1"/>
  <c r="E23" i="15" l="1"/>
  <c r="G22" i="15"/>
  <c r="M22" i="15" s="1"/>
  <c r="F28" i="1"/>
  <c r="F27" i="1"/>
  <c r="F26" i="1"/>
  <c r="Q21" i="15" l="1"/>
  <c r="O22" i="15"/>
  <c r="P21" i="15"/>
  <c r="R23" i="15"/>
  <c r="F23" i="15"/>
  <c r="F53" i="1"/>
  <c r="F49" i="1"/>
  <c r="F48" i="1"/>
  <c r="F45" i="1"/>
  <c r="F37" i="1"/>
  <c r="F36" i="1"/>
  <c r="G23" i="15" l="1"/>
  <c r="M23" i="15" s="1"/>
  <c r="O23" i="15" s="1"/>
  <c r="E24" i="15"/>
  <c r="F24" i="15" s="1"/>
  <c r="F47" i="1"/>
  <c r="E25" i="15" l="1"/>
  <c r="G24" i="15"/>
  <c r="M24" i="15" s="1"/>
  <c r="O24" i="15" s="1"/>
  <c r="H12" i="13"/>
  <c r="G12" i="13"/>
  <c r="A12" i="13"/>
  <c r="A9" i="13"/>
  <c r="A65" i="13"/>
  <c r="P23" i="15" l="1"/>
  <c r="Q23" i="15"/>
  <c r="R25" i="15"/>
  <c r="F25" i="15"/>
  <c r="A61" i="13"/>
  <c r="H33" i="13"/>
  <c r="G33" i="13"/>
  <c r="F33" i="13"/>
  <c r="D34" i="13"/>
  <c r="H29" i="13"/>
  <c r="G29" i="13"/>
  <c r="F29" i="13"/>
  <c r="H28" i="13"/>
  <c r="G28" i="13"/>
  <c r="F28" i="13"/>
  <c r="H27" i="13"/>
  <c r="G27" i="13"/>
  <c r="F27" i="13"/>
  <c r="H26" i="13"/>
  <c r="G26" i="13"/>
  <c r="F26" i="13"/>
  <c r="H25" i="13"/>
  <c r="E26" i="15" l="1"/>
  <c r="F26" i="15" s="1"/>
  <c r="G25" i="15"/>
  <c r="M25" i="15" s="1"/>
  <c r="O25" i="15" s="1"/>
  <c r="D33" i="13"/>
  <c r="E27" i="15" l="1"/>
  <c r="G26" i="15"/>
  <c r="M26" i="15" s="1"/>
  <c r="I56" i="1" l="1"/>
  <c r="J56" i="1" s="1"/>
  <c r="I17" i="1"/>
  <c r="I57" i="1"/>
  <c r="J57" i="1" s="1"/>
  <c r="I61" i="1"/>
  <c r="J61" i="1" s="1"/>
  <c r="I63" i="1"/>
  <c r="J63" i="1" s="1"/>
  <c r="I62" i="1"/>
  <c r="J62" i="1" s="1"/>
  <c r="I24" i="1"/>
  <c r="J24" i="1" s="1"/>
  <c r="I21" i="1"/>
  <c r="J21" i="1" s="1"/>
  <c r="I41" i="1"/>
  <c r="J41" i="1" s="1"/>
  <c r="I23" i="1"/>
  <c r="J23" i="1" s="1"/>
  <c r="I20" i="1"/>
  <c r="J20" i="1" s="1"/>
  <c r="I44" i="1"/>
  <c r="J44" i="1" s="1"/>
  <c r="I19" i="1"/>
  <c r="J19" i="1" s="1"/>
  <c r="I31" i="1"/>
  <c r="J31" i="1" s="1"/>
  <c r="I32" i="1"/>
  <c r="J32" i="1" s="1"/>
  <c r="I29" i="1"/>
  <c r="J29" i="1" s="1"/>
  <c r="I30" i="1"/>
  <c r="J30" i="1" s="1"/>
  <c r="I42" i="1"/>
  <c r="J42" i="1" s="1"/>
  <c r="I40" i="1"/>
  <c r="J40" i="1" s="1"/>
  <c r="I25" i="1"/>
  <c r="J25" i="1" s="1"/>
  <c r="I38" i="1"/>
  <c r="J38" i="1" s="1"/>
  <c r="I59" i="1"/>
  <c r="J59" i="1" s="1"/>
  <c r="J58" i="1" s="1"/>
  <c r="Q25" i="15"/>
  <c r="O26" i="15"/>
  <c r="P25" i="15"/>
  <c r="R27" i="15"/>
  <c r="F27" i="15"/>
  <c r="I54" i="1"/>
  <c r="J54" i="1" s="1"/>
  <c r="I51" i="1"/>
  <c r="J51" i="1" s="1"/>
  <c r="I50" i="1"/>
  <c r="J50" i="1" s="1"/>
  <c r="I33" i="1"/>
  <c r="J33" i="1" s="1"/>
  <c r="I27" i="1"/>
  <c r="J27" i="1" s="1"/>
  <c r="I28" i="1"/>
  <c r="J28" i="1" s="1"/>
  <c r="I26" i="1"/>
  <c r="J26" i="1" s="1"/>
  <c r="I48" i="1"/>
  <c r="J48" i="1" s="1"/>
  <c r="I53" i="1"/>
  <c r="J53" i="1" s="1"/>
  <c r="I36" i="1"/>
  <c r="J36" i="1" s="1"/>
  <c r="I49" i="1"/>
  <c r="J49" i="1" s="1"/>
  <c r="I47" i="1"/>
  <c r="J47" i="1" s="1"/>
  <c r="I45" i="1"/>
  <c r="J45" i="1" s="1"/>
  <c r="I37" i="1"/>
  <c r="J37" i="1" s="1"/>
  <c r="J55" i="1" l="1"/>
  <c r="J60" i="1"/>
  <c r="G15" i="16" s="1"/>
  <c r="J22" i="1"/>
  <c r="J43" i="1"/>
  <c r="J39" i="1"/>
  <c r="E28" i="15"/>
  <c r="F28" i="15" s="1"/>
  <c r="G27" i="15"/>
  <c r="M27" i="15" s="1"/>
  <c r="O27" i="15" s="1"/>
  <c r="J46" i="1"/>
  <c r="J35" i="1"/>
  <c r="J52" i="1"/>
  <c r="J34" i="1" l="1"/>
  <c r="G13" i="16" s="1"/>
  <c r="F15" i="16"/>
  <c r="E15" i="16"/>
  <c r="G11" i="16"/>
  <c r="C11" i="16" s="1"/>
  <c r="G28" i="15"/>
  <c r="M28" i="15" s="1"/>
  <c r="E29" i="15"/>
  <c r="D13" i="16" l="1"/>
  <c r="F11" i="16"/>
  <c r="E11" i="16"/>
  <c r="E13" i="16"/>
  <c r="F13" i="16"/>
  <c r="R29" i="15"/>
  <c r="F29" i="15"/>
  <c r="Q27" i="15"/>
  <c r="P27" i="15"/>
  <c r="O28" i="15"/>
  <c r="I18" i="1"/>
  <c r="F18" i="1"/>
  <c r="G29" i="15" l="1"/>
  <c r="M29" i="15" s="1"/>
  <c r="O29" i="15" s="1"/>
  <c r="E30" i="15"/>
  <c r="F30" i="15" s="1"/>
  <c r="J18" i="1"/>
  <c r="E31" i="15" l="1"/>
  <c r="G30" i="15"/>
  <c r="M30" i="15" s="1"/>
  <c r="P29" i="15" l="1"/>
  <c r="Q29" i="15"/>
  <c r="O30" i="15"/>
  <c r="F31" i="15"/>
  <c r="R31" i="15"/>
  <c r="J17" i="1"/>
  <c r="E32" i="15" l="1"/>
  <c r="F32" i="15" s="1"/>
  <c r="G31" i="15"/>
  <c r="M31" i="15" s="1"/>
  <c r="O31" i="15" s="1"/>
  <c r="I16" i="1"/>
  <c r="F16" i="1"/>
  <c r="G32" i="15" l="1"/>
  <c r="M32" i="15" s="1"/>
  <c r="E33" i="15"/>
  <c r="J16" i="1"/>
  <c r="J15" i="1" l="1"/>
  <c r="J65" i="1" s="1"/>
  <c r="F33" i="15"/>
  <c r="R33" i="15"/>
  <c r="Q31" i="15"/>
  <c r="P31" i="15"/>
  <c r="O32" i="15"/>
  <c r="G9" i="16" l="1"/>
  <c r="K60" i="1"/>
  <c r="K55" i="1"/>
  <c r="K39" i="1"/>
  <c r="K58" i="1"/>
  <c r="E34" i="15"/>
  <c r="F34" i="15" s="1"/>
  <c r="E35" i="15" s="1"/>
  <c r="G33" i="15"/>
  <c r="M33" i="15" s="1"/>
  <c r="O33" i="15" s="1"/>
  <c r="K46" i="1"/>
  <c r="K43" i="1"/>
  <c r="K15" i="1"/>
  <c r="K65" i="1"/>
  <c r="K34" i="1"/>
  <c r="K35" i="1"/>
  <c r="K52" i="1"/>
  <c r="K22" i="1"/>
  <c r="N14" i="1"/>
  <c r="G18" i="16" l="1"/>
  <c r="H9" i="16" s="1"/>
  <c r="D9" i="16"/>
  <c r="D18" i="16" s="1"/>
  <c r="D19" i="16" s="1"/>
  <c r="E9" i="16"/>
  <c r="E18" i="16" s="1"/>
  <c r="E19" i="16" s="1"/>
  <c r="C9" i="16"/>
  <c r="C18" i="16" s="1"/>
  <c r="F9" i="16"/>
  <c r="F18" i="16" s="1"/>
  <c r="F19" i="16" s="1"/>
  <c r="H13" i="16"/>
  <c r="H11" i="16"/>
  <c r="H15" i="16"/>
  <c r="G34" i="15"/>
  <c r="M34" i="15" s="1"/>
  <c r="C20" i="16" l="1"/>
  <c r="D20" i="16" s="1"/>
  <c r="E20" i="16" s="1"/>
  <c r="C19" i="16"/>
  <c r="H18" i="16"/>
  <c r="F35" i="15"/>
  <c r="R35" i="15"/>
  <c r="Q33" i="15"/>
  <c r="P33" i="15"/>
  <c r="O34" i="15"/>
  <c r="C21" i="16" l="1"/>
  <c r="D21" i="16"/>
  <c r="E21" i="16"/>
  <c r="F20" i="16"/>
  <c r="G20" i="16" s="1"/>
  <c r="G35" i="15"/>
  <c r="M35" i="15" s="1"/>
  <c r="O35" i="15" s="1"/>
  <c r="E36" i="15"/>
  <c r="F36" i="15" s="1"/>
  <c r="F21" i="16" l="1"/>
  <c r="E37" i="15"/>
  <c r="G36" i="15"/>
  <c r="M36" i="15" s="1"/>
  <c r="O36" i="15" l="1"/>
  <c r="Q35" i="15"/>
  <c r="P35" i="15"/>
  <c r="F37" i="15"/>
  <c r="R37" i="15"/>
  <c r="E38" i="15" l="1"/>
  <c r="F38" i="15" s="1"/>
  <c r="G37" i="15"/>
  <c r="M37" i="15" s="1"/>
  <c r="O37" i="15" s="1"/>
  <c r="E39" i="15" l="1"/>
  <c r="G38" i="15"/>
  <c r="M38" i="15" s="1"/>
  <c r="Q37" i="15" l="1"/>
  <c r="O38" i="15"/>
  <c r="P37" i="15"/>
  <c r="R39" i="15"/>
  <c r="F39" i="15"/>
  <c r="E40" i="15" l="1"/>
  <c r="F40" i="15" s="1"/>
  <c r="G39" i="15"/>
  <c r="M39" i="15" s="1"/>
  <c r="O39" i="15" s="1"/>
  <c r="G40" i="15" l="1"/>
  <c r="M40" i="15" s="1"/>
  <c r="E41" i="15"/>
  <c r="F41" i="15" l="1"/>
  <c r="R41" i="15"/>
  <c r="O40" i="15"/>
  <c r="P39" i="15"/>
  <c r="Q39" i="15"/>
  <c r="E42" i="15" l="1"/>
  <c r="F42" i="15" s="1"/>
  <c r="G41" i="15"/>
  <c r="M41" i="15" s="1"/>
  <c r="O41" i="15" s="1"/>
  <c r="E43" i="15" l="1"/>
  <c r="G42" i="15"/>
  <c r="M42" i="15" s="1"/>
  <c r="O42" i="15" l="1"/>
  <c r="Q41" i="15"/>
  <c r="P41" i="15"/>
  <c r="F43" i="15"/>
  <c r="R43" i="15"/>
  <c r="E44" i="15" l="1"/>
  <c r="F44" i="15" s="1"/>
  <c r="G43" i="15"/>
  <c r="M43" i="15" s="1"/>
  <c r="O43" i="15" s="1"/>
  <c r="E45" i="15" l="1"/>
  <c r="G44" i="15"/>
  <c r="M44" i="15" s="1"/>
  <c r="P43" i="15" l="1"/>
  <c r="O44" i="15"/>
  <c r="Q43" i="15"/>
  <c r="F45" i="15"/>
  <c r="R45" i="15"/>
  <c r="E46" i="15" l="1"/>
  <c r="F46" i="15" s="1"/>
  <c r="G45" i="15"/>
  <c r="M45" i="15" s="1"/>
  <c r="O45" i="15" s="1"/>
  <c r="G46" i="15" l="1"/>
  <c r="M46" i="15" s="1"/>
  <c r="E47" i="15"/>
  <c r="F47" i="15" l="1"/>
  <c r="R47" i="15"/>
  <c r="P45" i="15"/>
  <c r="Q45" i="15"/>
  <c r="O46" i="15"/>
  <c r="E48" i="15" l="1"/>
  <c r="F48" i="15" s="1"/>
  <c r="G47" i="15"/>
  <c r="M47" i="15" s="1"/>
  <c r="O47" i="15" s="1"/>
  <c r="E49" i="15" l="1"/>
  <c r="G48" i="15"/>
  <c r="M48" i="15" s="1"/>
  <c r="Q47" i="15" l="1"/>
  <c r="O48" i="15"/>
  <c r="P47" i="15"/>
  <c r="F49" i="15"/>
  <c r="R49" i="15"/>
  <c r="E50" i="15" l="1"/>
  <c r="F50" i="15" s="1"/>
  <c r="G49" i="15"/>
  <c r="M49" i="15" s="1"/>
  <c r="O49" i="15" s="1"/>
  <c r="G50" i="15" l="1"/>
  <c r="M50" i="15" s="1"/>
  <c r="E51" i="15"/>
  <c r="R51" i="15" l="1"/>
  <c r="F51" i="15"/>
  <c r="P49" i="15"/>
  <c r="Q49" i="15"/>
  <c r="O50" i="15"/>
  <c r="E52" i="15" l="1"/>
  <c r="F52" i="15" s="1"/>
  <c r="G51" i="15"/>
  <c r="M51" i="15" s="1"/>
  <c r="O51" i="15" s="1"/>
  <c r="E53" i="15" l="1"/>
  <c r="G52" i="15"/>
  <c r="M52" i="15" s="1"/>
  <c r="O52" i="15" l="1"/>
  <c r="P51" i="15"/>
  <c r="Q51" i="15"/>
  <c r="F53" i="15"/>
  <c r="R53" i="15"/>
  <c r="E54" i="15" l="1"/>
  <c r="F54" i="15" s="1"/>
  <c r="G53" i="15"/>
  <c r="M53" i="15" s="1"/>
  <c r="O53" i="15" s="1"/>
  <c r="E55" i="15" l="1"/>
  <c r="G54" i="15"/>
  <c r="M54" i="15" s="1"/>
  <c r="O54" i="15" l="1"/>
  <c r="P53" i="15"/>
  <c r="Q53" i="15"/>
  <c r="F55" i="15"/>
  <c r="R55" i="15"/>
  <c r="G55" i="15" l="1"/>
  <c r="M55" i="15" s="1"/>
  <c r="O55" i="15" s="1"/>
  <c r="E56" i="15"/>
  <c r="F56" i="15" s="1"/>
  <c r="G56" i="15" s="1"/>
  <c r="M56" i="15" s="1"/>
  <c r="P55" i="15" l="1"/>
  <c r="Q55" i="15"/>
  <c r="O56" i="15"/>
</calcChain>
</file>

<file path=xl/comments1.xml><?xml version="1.0" encoding="utf-8"?>
<comments xmlns="http://schemas.openxmlformats.org/spreadsheetml/2006/main">
  <authors>
    <author>gpp009</author>
  </authors>
  <commentList>
    <comment ref="M25" authorId="0" shapeId="0">
      <text>
        <r>
          <rPr>
            <b/>
            <sz val="9"/>
            <color indexed="81"/>
            <rFont val="Segoe UI"/>
            <family val="2"/>
          </rPr>
          <t>gpp009:</t>
        </r>
        <r>
          <rPr>
            <sz val="9"/>
            <color indexed="81"/>
            <rFont val="Segoe UI"/>
            <family val="2"/>
          </rPr>
          <t xml:space="preserve">
valor estimado, uso apenas na travessia da rodovia</t>
        </r>
      </text>
    </comment>
    <comment ref="M38" authorId="0" shapeId="0">
      <text>
        <r>
          <rPr>
            <b/>
            <sz val="9"/>
            <color indexed="81"/>
            <rFont val="Segoe UI"/>
            <family val="2"/>
          </rPr>
          <t>gpp009:</t>
        </r>
        <r>
          <rPr>
            <sz val="9"/>
            <color indexed="81"/>
            <rFont val="Segoe UI"/>
            <family val="2"/>
          </rPr>
          <t xml:space="preserve">
área do escoramento dividida por 15, considerando um reaproveitamento das estacas pranchas.
</t>
        </r>
      </text>
    </comment>
    <comment ref="M63" authorId="0" shapeId="0">
      <text>
        <r>
          <rPr>
            <b/>
            <sz val="9"/>
            <color indexed="81"/>
            <rFont val="Segoe UI"/>
            <family val="2"/>
          </rPr>
          <t>gpp009:</t>
        </r>
        <r>
          <rPr>
            <sz val="9"/>
            <color indexed="81"/>
            <rFont val="Segoe UI"/>
            <family val="2"/>
          </rPr>
          <t xml:space="preserve">
Valor estimado, considerando 6 pontos de travessia com cercas x 6 metros de largura a passagem em cada ponto.
</t>
        </r>
      </text>
    </comment>
  </commentList>
</comments>
</file>

<file path=xl/comments2.xml><?xml version="1.0" encoding="utf-8"?>
<comments xmlns="http://schemas.openxmlformats.org/spreadsheetml/2006/main">
  <authors>
    <author>gpp002</author>
  </authors>
  <commentList>
    <comment ref="H15" authorId="0" shapeId="0">
      <text>
        <r>
          <rPr>
            <b/>
            <sz val="9"/>
            <color indexed="81"/>
            <rFont val="Segoe UI"/>
            <family val="2"/>
          </rPr>
          <t>Entre 2% a 5%.</t>
        </r>
      </text>
    </comment>
  </commentList>
</comments>
</file>

<file path=xl/sharedStrings.xml><?xml version="1.0" encoding="utf-8"?>
<sst xmlns="http://schemas.openxmlformats.org/spreadsheetml/2006/main" count="596" uniqueCount="315">
  <si>
    <t>Item</t>
  </si>
  <si>
    <t>Código</t>
  </si>
  <si>
    <t>Descrição</t>
  </si>
  <si>
    <t>Qtdd.</t>
  </si>
  <si>
    <t>%</t>
  </si>
  <si>
    <t>SINAPI</t>
  </si>
  <si>
    <t>UN</t>
  </si>
  <si>
    <t>1.</t>
  </si>
  <si>
    <t>Custo Unitário
S/ BDI
(R$)</t>
  </si>
  <si>
    <t>Preço Unitário
C/ BDI
(R$)</t>
  </si>
  <si>
    <t>Memória de cálculo</t>
  </si>
  <si>
    <t>M2</t>
  </si>
  <si>
    <t>2.</t>
  </si>
  <si>
    <t>M</t>
  </si>
  <si>
    <t>M3</t>
  </si>
  <si>
    <t>Preço Total
C/ BDI 
(R$)</t>
  </si>
  <si>
    <t>Fonte
(Ref.)</t>
  </si>
  <si>
    <t xml:space="preserve"> </t>
  </si>
  <si>
    <t>Médio</t>
  </si>
  <si>
    <t>ADMINISTRAÇÃO CENTRAL</t>
  </si>
  <si>
    <t>RISCO</t>
  </si>
  <si>
    <t>LUCRO</t>
  </si>
  <si>
    <t>BDI</t>
  </si>
  <si>
    <t>1° Quartil</t>
  </si>
  <si>
    <t>VALORES DO BDI POR TIPO DE OBRA</t>
  </si>
  <si>
    <t>TIPOS DE OBRA</t>
  </si>
  <si>
    <t>CONSTRUÇÃO DE EDIFÍCIOS</t>
  </si>
  <si>
    <t>CONSTRUÇÃO DE RODOVIAS E FERROVIAS</t>
  </si>
  <si>
    <t>CONSTRUÇÃO DE REDES DE ABASTECIMENTO DE ÁGUA, COLETA DE ESGOTO E CONSTRUÇÕES CORRELATAS</t>
  </si>
  <si>
    <t xml:space="preserve">CONSTRUÇÃO E MANUTENÇÃO DE ESTAÇÕES E REDES DE DISTRIBUIÇÃO DE ENERGIA ELÉTRICA </t>
  </si>
  <si>
    <t xml:space="preserve">OBRAS PORTUÁRIAS, MARÍTIMAS E FLUVIAIS </t>
  </si>
  <si>
    <t>3° Quartil</t>
  </si>
  <si>
    <t>BDI PARA ITENS DE MERO FORNECIMENTO DE MATERIAIS E EQUIPAMENTOS</t>
  </si>
  <si>
    <t>SEGURO + GARANTIA</t>
  </si>
  <si>
    <t>DESPESA FINANCEIRA</t>
  </si>
  <si>
    <t>00</t>
  </si>
  <si>
    <t xml:space="preserve">UN </t>
  </si>
  <si>
    <t>FONTE:</t>
  </si>
  <si>
    <t>LOCAL:</t>
  </si>
  <si>
    <t>BDI 1</t>
  </si>
  <si>
    <t>BDI 2</t>
  </si>
  <si>
    <t>Fator K</t>
  </si>
  <si>
    <t>REVISÃO:</t>
  </si>
  <si>
    <t>DATA BASE:</t>
  </si>
  <si>
    <t>BDI 3</t>
  </si>
  <si>
    <t>-</t>
  </si>
  <si>
    <t xml:space="preserve">T O T A L   G E R A L : </t>
  </si>
  <si>
    <t>1.1</t>
  </si>
  <si>
    <t>Obs.: Todos os valores foram truncados a partir da segunda casa decimal.</t>
  </si>
  <si>
    <t>2.1</t>
  </si>
  <si>
    <t>OBJETO:</t>
  </si>
  <si>
    <t>2.2</t>
  </si>
  <si>
    <t>3.</t>
  </si>
  <si>
    <t>4.</t>
  </si>
  <si>
    <t>2.3</t>
  </si>
  <si>
    <t>LOCACAO DE CONTAINER 2,30 X 6,00 M, ALT. 2,50 M, COM 1 SANITARIO, PARA ESCRITÓRIO E DEPÓSITO, COMPLETO, SEM DIVISORIAS INTERNAS</t>
  </si>
  <si>
    <t>MÊS</t>
  </si>
  <si>
    <t>SABESP</t>
  </si>
  <si>
    <t>3.1</t>
  </si>
  <si>
    <t>FIM</t>
  </si>
  <si>
    <t>OBRA:</t>
  </si>
  <si>
    <t>Percentual da base de cálculo para o ISS, conforme legislação tributária municipal:</t>
  </si>
  <si>
    <t>Alíquota do ISS:</t>
  </si>
  <si>
    <t>TIPO DE OBRA:</t>
  </si>
  <si>
    <t>Conforme Acordão Nº 2622/2013 - TCU.</t>
  </si>
  <si>
    <t>Demonstrativo</t>
  </si>
  <si>
    <t>Referência</t>
  </si>
  <si>
    <t>SIGLAS</t>
  </si>
  <si>
    <t>DESCRIÇÃO</t>
  </si>
  <si>
    <t>3º Quartil</t>
  </si>
  <si>
    <t>AC</t>
  </si>
  <si>
    <t>SG</t>
  </si>
  <si>
    <t>SEGURO E GARANTIA</t>
  </si>
  <si>
    <t>R</t>
  </si>
  <si>
    <t>DF</t>
  </si>
  <si>
    <t>DESPESAS FINANCEIRAS</t>
  </si>
  <si>
    <t>L</t>
  </si>
  <si>
    <t>CP</t>
  </si>
  <si>
    <t>TRIBUTOS (COFINS 3% E PIS 0,65%)</t>
  </si>
  <si>
    <t>ISS</t>
  </si>
  <si>
    <t>TRIBUTOS (ISSQN)</t>
  </si>
  <si>
    <t>CPRB</t>
  </si>
  <si>
    <t>TRIBUTOS (CP SOBRE RB - DESONER.)</t>
  </si>
  <si>
    <t>SEM DESONERAÇÃO (Fórmula Acórdão TCU)</t>
  </si>
  <si>
    <t>COM DESONERAÇÃO</t>
  </si>
  <si>
    <t>Os valores de BDI foram calculados com o emprego da fórmula:</t>
  </si>
  <si>
    <t>Declaramos para os devidos fins que o regime de Contribuição Previdênciária sobre a Receita Bruta adotado para elaboração do orçamento foi SEM DESONERAÇÃO, e que está é a alternativa mais adequada para a Administração Pública.</t>
  </si>
  <si>
    <t>SERVIÇOS PRELIMINARES E CANTEIRO DE OBRAS</t>
  </si>
  <si>
    <r>
      <rPr>
        <sz val="11"/>
        <rFont val="Myriad Pro"/>
        <family val="2"/>
      </rPr>
      <t xml:space="preserve">
</t>
    </r>
    <r>
      <rPr>
        <b/>
        <sz val="11"/>
        <rFont val="Myriad Pro"/>
        <family val="2"/>
      </rPr>
      <t>São Carlos, capital da tecnologia</t>
    </r>
    <r>
      <rPr>
        <sz val="11"/>
        <rFont val="Myriad Pro"/>
        <family val="2"/>
      </rPr>
      <t xml:space="preserve">
</t>
    </r>
    <r>
      <rPr>
        <b/>
        <sz val="14"/>
        <color rgb="FF003399"/>
        <rFont val="Myriad Pro"/>
        <family val="2"/>
      </rPr>
      <t>SERVIÇO AUTÔNOMO DE ÁGUA E ESGOTO</t>
    </r>
  </si>
  <si>
    <t>PLANILHA ORÇAMENTÁRIA</t>
  </si>
  <si>
    <r>
      <t xml:space="preserve">ITEM 2: </t>
    </r>
    <r>
      <rPr>
        <sz val="10"/>
        <rFont val="Verdana"/>
        <family val="2"/>
      </rPr>
      <t>IMPLANTAÇÃO E INTERLIGAÇÃO COM ADUTORA POR GRAVIDADE</t>
    </r>
  </si>
  <si>
    <r>
      <rPr>
        <b/>
        <sz val="18"/>
        <rFont val="Cambria"/>
        <family val="1"/>
      </rPr>
      <t xml:space="preserve">
</t>
    </r>
    <r>
      <rPr>
        <sz val="11"/>
        <rFont val="Arial"/>
        <family val="2"/>
      </rPr>
      <t xml:space="preserve">
</t>
    </r>
    <r>
      <rPr>
        <b/>
        <sz val="11"/>
        <rFont val="Myriad Pro"/>
        <family val="2"/>
      </rPr>
      <t>São Carlos, capital da tecnologia</t>
    </r>
    <r>
      <rPr>
        <sz val="11"/>
        <rFont val="Arial"/>
        <family val="2"/>
      </rPr>
      <t xml:space="preserve">
</t>
    </r>
    <r>
      <rPr>
        <b/>
        <sz val="14"/>
        <color rgb="FF003399"/>
        <rFont val="Myriad Pro"/>
        <family val="2"/>
      </rPr>
      <t>SERVIÇO AUTÔNOMO DE ÁGUA E ESGOTO</t>
    </r>
  </si>
  <si>
    <t>1.2</t>
  </si>
  <si>
    <t>1.3</t>
  </si>
  <si>
    <t>4.1</t>
  </si>
  <si>
    <t>SERVIÇOS COMPLEMENTARES</t>
  </si>
  <si>
    <t>SELEÇÃO</t>
  </si>
  <si>
    <t xml:space="preserve">LOCAL: </t>
  </si>
  <si>
    <t>MÉDIA</t>
  </si>
  <si>
    <t>MEDIANA</t>
  </si>
  <si>
    <r>
      <t xml:space="preserve">EMPRESA 01 (CNPJ)
</t>
    </r>
    <r>
      <rPr>
        <sz val="10"/>
        <color rgb="FF000000"/>
        <rFont val="Arial"/>
        <family val="2"/>
      </rPr>
      <t>fone / contato / data</t>
    </r>
  </si>
  <si>
    <r>
      <t xml:space="preserve">Valor unit.
</t>
    </r>
    <r>
      <rPr>
        <sz val="10"/>
        <rFont val="Arial"/>
        <family val="2"/>
      </rPr>
      <t>COTADO</t>
    </r>
  </si>
  <si>
    <r>
      <t xml:space="preserve">EMPRESA 02 (CNPJ)
</t>
    </r>
    <r>
      <rPr>
        <sz val="10"/>
        <color rgb="FF000000"/>
        <rFont val="Arial"/>
        <family val="2"/>
      </rPr>
      <t>fone / contato / data</t>
    </r>
  </si>
  <si>
    <r>
      <t xml:space="preserve">EMPRESA 03 (CNPJ)
</t>
    </r>
    <r>
      <rPr>
        <sz val="10"/>
        <color rgb="FF000000"/>
        <rFont val="Arial"/>
        <family val="2"/>
      </rPr>
      <t>fone / contato / data</t>
    </r>
  </si>
  <si>
    <r>
      <t xml:space="preserve">Valor 
unit.
</t>
    </r>
    <r>
      <rPr>
        <sz val="10"/>
        <rFont val="Arial"/>
        <family val="2"/>
      </rPr>
      <t>ADOTADO*</t>
    </r>
    <r>
      <rPr>
        <b/>
        <sz val="10"/>
        <rFont val="Arial"/>
        <family val="2"/>
      </rPr>
      <t xml:space="preserve">
(R$)</t>
    </r>
  </si>
  <si>
    <t>* MEDIANA, conforme inciso I, § 2º, Art. 23 da Lei 14.133/21.</t>
  </si>
  <si>
    <t>ANEXO II-B.2</t>
  </si>
  <si>
    <t>COTAÇÕES DE MERCADO</t>
  </si>
  <si>
    <t>CONJUNTO MOTOR-BOMBA CENTRÍFUGA (Q=150M3/H, HMAN=22MCA), (Ref. comercial MEGANORM KSB 125-100-200 n = 1750 r.p.m., ROTOR ø219mm) - VIDE ESPECIFICAÇÕES TÉCNICAS NO MEMORIAL DESCRITIVO</t>
  </si>
  <si>
    <r>
      <rPr>
        <b/>
        <sz val="10"/>
        <color rgb="FF000000"/>
        <rFont val="Arial"/>
        <family val="2"/>
      </rPr>
      <t>WorTEC Bombas (Filial) (CNPJ: 08.288.024/0002-80)</t>
    </r>
    <r>
      <rPr>
        <sz val="10"/>
        <color rgb="FF000000"/>
        <rFont val="Arial"/>
        <family val="2"/>
      </rPr>
      <t xml:space="preserve">
End.: AV. ROBERTO PINTO SOBRINHO, 575 VILA MENCK - OSASCO - SP - 06268-120
Fone: (11) 3645-4040
09/09/2024</t>
    </r>
  </si>
  <si>
    <t>CONJUNTO MOTOR-BOMBA CENTRÍFUGA (Q=140M3/H, HMAN=60MCA), (Ref. comercial MEGANORM KSB 125-080-400 n = 1750 r.p.m., ROTOR ø360mm) - VIDE ESPECIFICAÇÕES TÉCNICAS NO MEMORIAL DESCRITIVO</t>
  </si>
  <si>
    <t>C001</t>
  </si>
  <si>
    <t>C002</t>
  </si>
  <si>
    <r>
      <t xml:space="preserve">BOMBEMI (CNPJ: 27.343.071/0001-43)
</t>
    </r>
    <r>
      <rPr>
        <sz val="10"/>
        <color rgb="FF000000"/>
        <rFont val="Arial"/>
        <family val="2"/>
      </rPr>
      <t>Rua Flórida, 534 - Barcelona - São Caetano do Sul - SP CEP: 09.551-000
Fone: (11) 4224-3457 E-mail: comercial@bombemi.com.br Site: www.bombemi.com.br
06/09/24</t>
    </r>
  </si>
  <si>
    <t>POÇOS DE VISITA</t>
  </si>
  <si>
    <t>ESCAVAÇÃO DE VALA</t>
  </si>
  <si>
    <t>REATERRO DE VALA</t>
  </si>
  <si>
    <t>3.2</t>
  </si>
  <si>
    <t>3.3</t>
  </si>
  <si>
    <t>3.4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</si>
  <si>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</si>
  <si>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ESCAVAÇÃO MECANIZADA DE VALA COM PROFUNDIDADE MAIOR QUE 1,5 M ATÉ 3,0 M (MÉDIA MONTANTE E JUSANTE/UMA COMPOSIÇÃO POR TRECHO), RETROESCAV (0,26 M3), LARGURA DE 0,8 M A 1,5 M, EM SOLO DE 1A CATEGORIA, LOCAIS COM BAIXO NÍVEL DE INTERFERÊNCIA. AF_09/2024</t>
  </si>
  <si>
    <t>3.1.1</t>
  </si>
  <si>
    <t>3.1.2</t>
  </si>
  <si>
    <t>3.2.1</t>
  </si>
  <si>
    <t>ACRÉSCIMO PARA POÇO DE VISITA CIRCULAR PARA ESGOTO, EM CONCRETO PRÉ-MOLDADO, DIÂMETRO INTERNO = 1 M. AF_12/2020</t>
  </si>
  <si>
    <r>
      <t xml:space="preserve">PEÇA CIRCULAR PRÉ-MOLDADA, VOLUME DE CONCRETO DE 30 A 100 LITROS, TAXA DE AÇO APROXIMADA DE 30KG/M³. AF_03/2024 </t>
    </r>
    <r>
      <rPr>
        <b/>
        <sz val="10"/>
        <rFont val="Cambria"/>
        <family val="1"/>
      </rPr>
      <t>- TAMPÃO CIRCULAR D=65CM / H=10CM</t>
    </r>
  </si>
  <si>
    <t>BASE PARA POÇO DE VISITA CIRCULAR PARA ESGOTO, EM CONCRETO PRÉ-MOLDADO, DIÂMETRO INTERNO = 1,0 M, PROFUNDIDADE = 1,35 M, EXCLUINDO TAMPÃO. AF_12/2020_PA</t>
  </si>
  <si>
    <t>3.3.1</t>
  </si>
  <si>
    <t>CHAMINÉ CIRCULAR PARA POÇO DE VISITA PARA ESGOTO, EM CONCRETO PRÉ-MOLDADO, DIÂMETRO INTERNO = 0,6 M. AF_12/2020</t>
  </si>
  <si>
    <t>JUNTA ARGAMASSADA ENTRE TUBO DN 400 MM E O POÇO DE VISITA/ CAIXA DE CONCRETO OU ALVENARIA EM REDES DE ESGOTO. AF_01/2021</t>
  </si>
  <si>
    <t>LOCAÇÃO DE INTERCEPTORES (ATÉ DIÂM. 500 MM)</t>
  </si>
  <si>
    <t>CADASTRO DE REDES GEORREFERENCIADO COM GNSS RTK NTRIP COM NIVELAMENTO GEOMÉTRICO</t>
  </si>
  <si>
    <t>REATERRO MECANIZADO DE VALA COM RETROESCAVADEIRA (CAPACIDADE   DA   CAÇAMBA   DA RETRO: 0,26 M³/POTÊNCIA: 88 HP), LARGURA DE 0,8 A 1,5 M, PROFUNDIDADE DE 1,5 A 3,0 M, COM SOLO (SEM SUBSTITUIÇÃO) DE 1ª CATEGORIA, COM PLACA VIBRATÓRIA. AF_08/2023</t>
  </si>
  <si>
    <t>3.4.1</t>
  </si>
  <si>
    <t>REATERRO MECANIZADO DE VALA COM RETROESCAVADEIRA (CAPACIDADE   DA   CAÇAMBA   DA RETRO: 0,26 M³/POTÊNCIA: 88 HP), LARGURA DE 0,8 A 1,5 M, PROFUNDIDADE ATÉ 1,5 M, COM SOLO (SEM SUBSTITUIÇÃO) DE 1ª CATEGORIA, COM PLACA VIBRATÓRIA. AF_08/2023</t>
  </si>
  <si>
    <t>3.4.2</t>
  </si>
  <si>
    <t>PLACA DE IDENTIFICAÇÃO DE OBRAS</t>
  </si>
  <si>
    <t>70000002</t>
  </si>
  <si>
    <t>Coeficiente de Manning =</t>
  </si>
  <si>
    <t xml:space="preserve">   Projeto:</t>
  </si>
  <si>
    <t>Data:</t>
  </si>
  <si>
    <t>NBR 9649/1986</t>
  </si>
  <si>
    <t xml:space="preserve">   Empresa:</t>
  </si>
  <si>
    <t>Trecho PV</t>
  </si>
  <si>
    <t>Extensão</t>
  </si>
  <si>
    <t>Taxa de Infiltração</t>
  </si>
  <si>
    <t>Vazão a Montante</t>
  </si>
  <si>
    <t>Vazão a Jusante</t>
  </si>
  <si>
    <t>Vazão de Projeto</t>
  </si>
  <si>
    <t>Diâmetro</t>
  </si>
  <si>
    <t>Declividade 
do Trecho</t>
  </si>
  <si>
    <t>Cota do</t>
  </si>
  <si>
    <t>Profundidade</t>
  </si>
  <si>
    <t>Lâmina</t>
  </si>
  <si>
    <t>Profundidade da Singularidade a Jusante</t>
  </si>
  <si>
    <t>Tensão 
Trativa</t>
  </si>
  <si>
    <t>Velocidade 
Crítica</t>
  </si>
  <si>
    <t>Declividade 
Mínima</t>
  </si>
  <si>
    <t>Terreno</t>
  </si>
  <si>
    <t>Coletor</t>
  </si>
  <si>
    <t>do Coletor</t>
  </si>
  <si>
    <t>Líquida</t>
  </si>
  <si>
    <t>Velocidade</t>
  </si>
  <si>
    <t>(l/s.km)</t>
  </si>
  <si>
    <t>(l/s)</t>
  </si>
  <si>
    <t>(m)</t>
  </si>
  <si>
    <t>(Y/D)</t>
  </si>
  <si>
    <t>(m/s)</t>
  </si>
  <si>
    <t>Inicial</t>
  </si>
  <si>
    <t>(mm)</t>
  </si>
  <si>
    <t>(m/m)</t>
  </si>
  <si>
    <t>Montante</t>
  </si>
  <si>
    <t>(Pa)</t>
  </si>
  <si>
    <t>Final</t>
  </si>
  <si>
    <t>Jusante</t>
  </si>
  <si>
    <t>PROJETO TÉCNICO REDE DE ESGOTO SANITÁRIO</t>
  </si>
  <si>
    <t>Serviço Autônomo de Água e Esgoto de São Carlos</t>
  </si>
  <si>
    <t>Revisão:</t>
  </si>
  <si>
    <t>24-25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</si>
  <si>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</si>
  <si>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</si>
  <si>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</si>
  <si>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</si>
  <si>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</si>
  <si>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</si>
  <si>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</si>
  <si>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</si>
  <si>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</si>
  <si>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</si>
  <si>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</si>
  <si>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</si>
  <si>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</si>
  <si>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</si>
  <si>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</si>
  <si>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</si>
  <si>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</si>
  <si>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</si>
  <si>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Contribuição de Infiltração</t>
  </si>
  <si>
    <t>Profundidade média</t>
  </si>
  <si>
    <t>ESCAVAÇÃO</t>
  </si>
  <si>
    <t>(m³)</t>
  </si>
  <si>
    <t xml:space="preserve">Escavação
1,5 &lt; Prof. ≤ 3m </t>
  </si>
  <si>
    <t>Escavação
Prof. ≤ 1,5m</t>
  </si>
  <si>
    <t>Larg. da vala=</t>
  </si>
  <si>
    <t xml:space="preserve">Escavação
3 &lt; Prof. ≤ 4,5m </t>
  </si>
  <si>
    <t xml:space="preserve">Escavação
4,5 &lt; Prof. ≤ 6m </t>
  </si>
  <si>
    <t>POÇOS DE VISITA (PV)</t>
  </si>
  <si>
    <t>CHAMINÉ
h=0,50m</t>
  </si>
  <si>
    <t>BASE
h=1,35m</t>
  </si>
  <si>
    <t>(un)</t>
  </si>
  <si>
    <t>ACRÉSCIMO
h&gt;1,85m</t>
  </si>
  <si>
    <t>INTERCEPTOR (margem direita do Córrego Santa Maria do Leme)</t>
  </si>
  <si>
    <t>ASSENTAMENTO DE TUBO DE FERRO FUNDIDO, DN 350 MM, JUNTA ELÁSTICA, INSTALADO EM LOCAL COM NÍVEL ALTO DE INTERFERÊNCIAS (NÃO INCLUI FORNECIMENTO). AF_05/2024</t>
  </si>
  <si>
    <t>JUNTA ARGAMASSADA ENTRE TUBO DN 350 MM E O POÇO DE VISITA/ CAIXA DE CONCRETO OU ALVENARIA EM REDES DE ESGOTO. AF_01/2021</t>
  </si>
  <si>
    <t>TUBO C/PONTA E BOLSA JGS K7 FERRO FUNDIDO DN=350 MM * (64,90 KG/M) PINTURA EPÓXI VERMELHA, ANEL DE BORRACHA INCLUSO NBR 15420 ESGOTO</t>
  </si>
  <si>
    <t>HM04093</t>
  </si>
  <si>
    <t>3.5</t>
  </si>
  <si>
    <t>3.5.1</t>
  </si>
  <si>
    <t>3.5.2</t>
  </si>
  <si>
    <t>CARGA, MANOBRA E DESCARGA DE SOLOS E MATERIAIS GRANULARES EM CAMINHÃO BASCULANTE 14 M³ - CARGA COM PÁ CARREGADEIRA (CAÇAMBA DE 1,7 A 2,8 M³ / 128 HP) E DESCARGA LIVRE (UNIDADE: M3). AF_07/2020</t>
  </si>
  <si>
    <t>E=30%</t>
  </si>
  <si>
    <t>3.1.3</t>
  </si>
  <si>
    <t>ESCORAMENTO</t>
  </si>
  <si>
    <t>(m²)</t>
  </si>
  <si>
    <t>1.4</t>
  </si>
  <si>
    <t>TRAVESSIA SOB A RODOVIA SP-310</t>
  </si>
  <si>
    <t>Esp. Brita=</t>
  </si>
  <si>
    <t>Esp. Rachão=</t>
  </si>
  <si>
    <t>m</t>
  </si>
  <si>
    <t>TRAVESSIA SP-310</t>
  </si>
  <si>
    <t>3.4.3</t>
  </si>
  <si>
    <t>3.4.4</t>
  </si>
  <si>
    <t>3.4.5</t>
  </si>
  <si>
    <t>3.6</t>
  </si>
  <si>
    <t>3.6.2</t>
  </si>
  <si>
    <t>PREPARO DO FUNDO DE VALA</t>
  </si>
  <si>
    <t>FUNDO DE VALA</t>
  </si>
  <si>
    <t>BRITA
ESP. 10CM</t>
  </si>
  <si>
    <t>RACHÃO
ESP. 30CM</t>
  </si>
  <si>
    <t>3.2.2</t>
  </si>
  <si>
    <t>15.03.030</t>
  </si>
  <si>
    <t>Kg</t>
  </si>
  <si>
    <t>CPOS</t>
  </si>
  <si>
    <t>PINTURA COM TINTA ALQUÍDICA DE FUNDO (TIPO ZARCÃO) APLICADA A ROLO OU PINCEL SOBRE SUPERFÍCIES METÁLICAS (EXCETO PERFIL) EXECUTADO EM OBRA (POR DEMÃO). AF_01/2020</t>
  </si>
  <si>
    <t>m²</t>
  </si>
  <si>
    <t>2.4</t>
  </si>
  <si>
    <t>2.5</t>
  </si>
  <si>
    <t>FLS. 02/02</t>
  </si>
  <si>
    <t>PINTURA COM TINTA ACRÍLICA DE ACABAMENTO APLICADA A ROLO OU PINCEL SOBRE SUPERFÍCIES METÁLICAS (EXCETO PERFIL) EXECUTADO EM OBRA (POR DEMÃO). AF_01/2020</t>
  </si>
  <si>
    <t>16.45.003</t>
  </si>
  <si>
    <t>FDE</t>
  </si>
  <si>
    <t>FORNECIMENTO E COLOCACAO DE CHUMBADORES EXPANSIVEIS D=3/8"</t>
  </si>
  <si>
    <t>16.45.001</t>
  </si>
  <si>
    <t>FORNECIMENTO E COLOCACAO DE CHUMBADORES EXPANSIVEIS D=3/4"</t>
  </si>
  <si>
    <t>08.01.100</t>
  </si>
  <si>
    <t>11.18.140</t>
  </si>
  <si>
    <t>PREPARO DE FUNDO DE VALA COM LARGURA MENOR QUE 1,5 M, COM CAMADA DE BRITA, LANÇAMENTO MECANIZADO. AF_08/2020</t>
  </si>
  <si>
    <t>TUBO CORRUGADO PEAD, PAREDE DUPLA, INTERNA LISA, JEI, DN/DI *400* MM, PARA SANEAMENTO (DRENAGEM/ESGOTO)</t>
  </si>
  <si>
    <t>CERCA COM MOURÕES DE MADEIRA ROLIÇA, DIÂMETRO 11 CM, ESPAÇAMENTO DE 2,5 M, ALTURA LIVRE DE 1,7 M, CRAVADOS 0,5 M, COM 5 FIOS DE ARAME MISTO - FORNECIMENTO E INSTALAÇÃO. AF_05/2020</t>
  </si>
  <si>
    <t>Meses</t>
  </si>
  <si>
    <t>Total 
(C/ BDI)</t>
  </si>
  <si>
    <t>Mês 01</t>
  </si>
  <si>
    <t>Mês 02</t>
  </si>
  <si>
    <t>S U B T O T A L (com BDI)</t>
  </si>
  <si>
    <t>T O T A L   A C U M U L A D O (com BDI)</t>
  </si>
  <si>
    <t>2.6</t>
  </si>
  <si>
    <t>2.7</t>
  </si>
  <si>
    <t>2.8</t>
  </si>
  <si>
    <t>4.2</t>
  </si>
  <si>
    <t>70.03.003</t>
  </si>
  <si>
    <t>SINALIZAÇÃO COM FITA FIXADA EM CONE PLÁSTICO, INCLUINDO CONE. AF_03/2024</t>
  </si>
  <si>
    <t xml:space="preserve">Coletor de esgoto Porto Royale </t>
  </si>
  <si>
    <t>21-22</t>
  </si>
  <si>
    <t>22-23</t>
  </si>
  <si>
    <t>23-24</t>
  </si>
  <si>
    <t>ASSENTAMENTO DE TUBO DE PEAD CORRUGADO DE DUPLA PAREDE PARA REDE COLETORA DE ESGOTO, DN 400 MM, JUNTA ELÁSTICA INTEGRADA (NÃO INCLUI FORNECIMENTO). AF_01/2021</t>
  </si>
  <si>
    <t>CONSTRUÇÃO DO COLETOR DE ESGOTO PORTO ROYALE</t>
  </si>
  <si>
    <t>LIMPEZA MECANIZADA DE CAMADA VEGETAL, VEGETAÇÃO E PEQUENAS ÁRVORES (DIÂMETRO DE TRONCO MENOR QUE 0,20 M)</t>
  </si>
  <si>
    <t>ESCAVAÇÃO HORIZONTAL, INCLUINDO CARGA E DESCARGA EM SOLO DE 1A CATEGORIA COM TRATOR DE ESTEIRAS (100HP/LÂMINA: 2,19M3). AF_07/2020</t>
  </si>
  <si>
    <t>TRANSPORTE COM CAMINHÃO BASCULANTE DE 10 M³, EM VIA URBANA PAVIMENTADA, DMT ATÉ 30 KM (UNIDADE: M3XKM). AF_07/2020</t>
  </si>
  <si>
    <t>M³XKM</t>
  </si>
  <si>
    <t>M³</t>
  </si>
  <si>
    <t>1.5</t>
  </si>
  <si>
    <t>1.6</t>
  </si>
  <si>
    <t>1.7</t>
  </si>
  <si>
    <t>1.8</t>
  </si>
  <si>
    <t>CONSTRUÇÃO DO COLETOR</t>
  </si>
  <si>
    <t>TRANSPORTE COM CAMINHÃO BASCULANTE DE 10 M³, EM VIA URBANA PAVIMENTADA, DMT = 30 KM (UNIDADE: M3XKM). AF_07/2020 (brita+rachão)</t>
  </si>
  <si>
    <t>Larg. vala para rachão e brita =</t>
  </si>
  <si>
    <t>TUBULAÇÃO DE PEAD CORRUGADO</t>
  </si>
  <si>
    <t>BOTA FORA</t>
  </si>
  <si>
    <t>MARGEM DIREITA DO CÓRREGO SANTA MARIA DO LEME, SÃO CARLOS/SP, ENTRE OS KM 239+143M E KM 237+494M DA RODOVIA WASHINGTON LUIS (SP-310)</t>
  </si>
  <si>
    <t>DEMONSTRATIVO DO B.D.I.</t>
  </si>
  <si>
    <t>O VALOR DO BDI 1 ADOTADO É: 24,18%.</t>
  </si>
  <si>
    <r>
      <t xml:space="preserve">OBRA: </t>
    </r>
    <r>
      <rPr>
        <sz val="10"/>
        <rFont val="Arial"/>
        <family val="2"/>
      </rPr>
      <t>CONSTRUÇÃO DO COLETOR DE ESGOTO PORTO ROYALE</t>
    </r>
    <r>
      <rPr>
        <b/>
        <sz val="10"/>
        <rFont val="Arial"/>
        <family val="2"/>
      </rPr>
      <t xml:space="preserve">
LOCAL: </t>
    </r>
    <r>
      <rPr>
        <sz val="10"/>
        <rFont val="Arial"/>
        <family val="2"/>
      </rPr>
      <t>MARGEM DIREITA DO CÓRREGO SANTA MARIA DO LEME, SÃO CARLOS/SP, ENTRE OS KM 239+143M E KM 237+494M DA RODOVIA WASHINGTON LUIS (SP-310)</t>
    </r>
    <r>
      <rPr>
        <b/>
        <sz val="10"/>
        <rFont val="Arial"/>
        <family val="2"/>
      </rPr>
      <t xml:space="preserve">
</t>
    </r>
  </si>
  <si>
    <t>DADOS DE PROJETO</t>
  </si>
  <si>
    <t>MEMORIAL DE CÁLCULO QUANTITATIVO COMPLEMENTAR</t>
  </si>
  <si>
    <t>O VALOR DO BDI 2 ADOTADO É: 16%.</t>
  </si>
  <si>
    <t>PV Andre-35</t>
  </si>
  <si>
    <t>PONTALETE ROLICO SEM TRATAMENTO, D = 8 A 11 CM, H = 6 M, EM EUCALIPTO OU EQUIVALENTE DA REGIAO - BRUTA (PARA PLACA DE SINALIZAÇÃO)</t>
  </si>
  <si>
    <t>TUBO, PVC OCRE, JUNTA ELÁSTICA, DN 150 MM, PARA COLETOR PREDIAL DE ESGOTO. AF_06/2022 (fornecimento e instalação - Para ligação de esgoto da área 10-A e 10B)</t>
  </si>
  <si>
    <t>Mês 04</t>
  </si>
  <si>
    <t>São Carlos, 09 de fevereiro de 2026.</t>
  </si>
  <si>
    <t>PROTEÇÃO TUBO</t>
  </si>
  <si>
    <t>3.7</t>
  </si>
  <si>
    <t>EXECUÇÃOLAJE DE CONCRETO ARMADO, FCK = 20 MPA, ESPESSURA DE 15,0 CM. AF_04/2022 (proteção tubo sob curso d'água)</t>
  </si>
  <si>
    <t>M²</t>
  </si>
  <si>
    <t>3.6.1</t>
  </si>
  <si>
    <r>
      <t xml:space="preserve">SINAPI 12-2025 / CPOS 01-2026 / SABESP 09-2025 / 
 FDE 10/2025 </t>
    </r>
    <r>
      <rPr>
        <b/>
        <sz val="10"/>
        <color rgb="FF000000"/>
        <rFont val="Arial"/>
        <family val="2"/>
      </rPr>
      <t>(NÃO DESONERADO)</t>
    </r>
  </si>
  <si>
    <t>ANEXO II-B</t>
  </si>
  <si>
    <r>
      <t xml:space="preserve">ANEXO II-A
                                   CRONOGRAMA FÍSICO-FINANCEIRO
</t>
    </r>
    <r>
      <rPr>
        <sz val="11"/>
        <rFont val="Arial"/>
        <family val="2"/>
      </rPr>
      <t xml:space="preserve">Evolução Física-Financeira da Obra e Cronograma Previsto de Desembolso
</t>
    </r>
  </si>
  <si>
    <t xml:space="preserve">ANEXO I-C
 PLANILHA DE CÁLCULO DA REDE DE ESGOTOS    </t>
  </si>
  <si>
    <t>ANEXO I-C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</si>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</sst>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\-??_);_(@_)"/>
    <numFmt numFmtId="165" formatCode="#,##0.00\ "/>
    <numFmt numFmtId="166" formatCode="_(&quot;R$ &quot;* #,##0.00_);_(&quot;R$ &quot;* \(#,##0.00\);_(&quot;R$ &quot;* \-??_);_(@_)"/>
    <numFmt numFmtId="167" formatCode="_(* #,##0.0000_);_(* \(#,##0.0000\);_(* \-??_);_(@_)"/>
    <numFmt numFmtId="168" formatCode="0.000"/>
    <numFmt numFmtId="169" formatCode="dd/mm/yy"/>
    <numFmt numFmtId="170" formatCode="0.0000"/>
    <numFmt numFmtId="171" formatCode="0.0"/>
  </numFmts>
  <fonts count="5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  <charset val="1"/>
    </font>
    <font>
      <b/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sz val="12"/>
      <name val="Arial"/>
      <family val="2"/>
      <charset val="1"/>
    </font>
    <font>
      <b/>
      <sz val="12"/>
      <name val="Tahoma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sz val="10"/>
      <name val="Cambria"/>
      <family val="1"/>
    </font>
    <font>
      <b/>
      <sz val="11"/>
      <color rgb="FF000000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8"/>
      <name val="Arial"/>
      <family val="2"/>
    </font>
    <font>
      <b/>
      <sz val="11"/>
      <name val="Cambria"/>
      <family val="1"/>
    </font>
    <font>
      <b/>
      <sz val="18"/>
      <name val="Cambria"/>
      <family val="1"/>
    </font>
    <font>
      <sz val="11"/>
      <name val="Myriad Pro"/>
      <family val="2"/>
    </font>
    <font>
      <b/>
      <sz val="11"/>
      <name val="Myriad Pro"/>
      <family val="2"/>
    </font>
    <font>
      <b/>
      <sz val="14"/>
      <color rgb="FF003399"/>
      <name val="Myriad Pro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4"/>
      <name val="Cambria"/>
      <family val="1"/>
    </font>
    <font>
      <i/>
      <sz val="10"/>
      <name val="Cambria"/>
      <family val="1"/>
    </font>
    <font>
      <i/>
      <sz val="10"/>
      <name val="Arial"/>
      <family val="2"/>
    </font>
    <font>
      <b/>
      <sz val="9"/>
      <color indexed="81"/>
      <name val="Segoe UI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Cambria"/>
      <family val="1"/>
    </font>
    <font>
      <sz val="10"/>
      <color theme="0" tint="-0.34998626667073579"/>
      <name val="Tahoma"/>
      <family val="2"/>
      <charset val="1"/>
    </font>
    <font>
      <u/>
      <sz val="10"/>
      <name val="Tahoma"/>
      <family val="2"/>
      <charset val="1"/>
    </font>
    <font>
      <b/>
      <sz val="10"/>
      <color theme="0" tint="-0.34998626667073579"/>
      <name val="Arial"/>
      <family val="2"/>
    </font>
    <font>
      <sz val="12"/>
      <color theme="0" tint="-0.34998626667073579"/>
      <name val="Arial"/>
      <family val="2"/>
      <charset val="1"/>
    </font>
    <font>
      <sz val="10"/>
      <color rgb="FFC00000"/>
      <name val="Cambria"/>
      <family val="1"/>
    </font>
    <font>
      <sz val="10"/>
      <color rgb="FFC00000"/>
      <name val="Arial"/>
      <family val="2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164" fontId="10" fillId="0" borderId="0" applyBorder="0" applyProtection="0"/>
    <xf numFmtId="166" fontId="10" fillId="0" borderId="0" applyBorder="0" applyProtection="0"/>
    <xf numFmtId="9" fontId="10" fillId="0" borderId="0" applyBorder="0" applyProtection="0"/>
    <xf numFmtId="0" fontId="2" fillId="0" borderId="0"/>
    <xf numFmtId="0" fontId="1" fillId="0" borderId="0"/>
  </cellStyleXfs>
  <cellXfs count="491">
    <xf numFmtId="0" fontId="0" fillId="0" borderId="0" xfId="0"/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vertical="center"/>
    </xf>
    <xf numFmtId="167" fontId="10" fillId="0" borderId="1" xfId="1" applyNumberForma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" fontId="15" fillId="0" borderId="0" xfId="1" applyNumberFormat="1" applyFont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10" fillId="0" borderId="1" xfId="1" applyNumberForma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4" fontId="4" fillId="3" borderId="0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66" fontId="8" fillId="3" borderId="0" xfId="2" applyFont="1" applyFill="1" applyBorder="1" applyAlignment="1" applyProtection="1">
      <alignment horizontal="center" vertical="center" wrapText="1"/>
    </xf>
    <xf numFmtId="164" fontId="6" fillId="2" borderId="0" xfId="1" applyFont="1" applyFill="1" applyBorder="1" applyAlignment="1" applyProtection="1">
      <alignment horizontal="right" vertical="center"/>
    </xf>
    <xf numFmtId="164" fontId="0" fillId="2" borderId="0" xfId="1" applyFont="1" applyFill="1" applyBorder="1" applyAlignment="1" applyProtection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164" fontId="15" fillId="0" borderId="7" xfId="1" applyFont="1" applyBorder="1" applyAlignment="1" applyProtection="1">
      <alignment vertical="center"/>
    </xf>
    <xf numFmtId="164" fontId="15" fillId="0" borderId="7" xfId="1" applyFont="1" applyFill="1" applyBorder="1" applyAlignment="1" applyProtection="1">
      <alignment vertical="center"/>
    </xf>
    <xf numFmtId="10" fontId="12" fillId="0" borderId="0" xfId="3" applyNumberFormat="1" applyFont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11" xfId="0" quotePrefix="1" applyFont="1" applyBorder="1" applyAlignment="1">
      <alignment horizontal="center" vertical="center" wrapText="1"/>
    </xf>
    <xf numFmtId="17" fontId="18" fillId="0" borderId="11" xfId="0" quotePrefix="1" applyNumberFormat="1" applyFont="1" applyBorder="1" applyAlignment="1">
      <alignment horizontal="center" vertical="center" wrapText="1"/>
    </xf>
    <xf numFmtId="164" fontId="15" fillId="0" borderId="7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0" fontId="10" fillId="0" borderId="0" xfId="3" applyNumberFormat="1" applyAlignment="1">
      <alignment horizontal="right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2" xfId="0" quotePrefix="1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165" fontId="15" fillId="0" borderId="12" xfId="0" applyNumberFormat="1" applyFont="1" applyBorder="1" applyAlignment="1">
      <alignment horizontal="center" vertical="center" wrapText="1"/>
    </xf>
    <xf numFmtId="164" fontId="15" fillId="0" borderId="12" xfId="1" applyFont="1" applyBorder="1" applyAlignment="1" applyProtection="1">
      <alignment vertical="center"/>
    </xf>
    <xf numFmtId="164" fontId="15" fillId="0" borderId="12" xfId="1" applyFont="1" applyFill="1" applyBorder="1" applyAlignment="1" applyProtection="1">
      <alignment vertical="center"/>
    </xf>
    <xf numFmtId="164" fontId="15" fillId="0" borderId="12" xfId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164" fontId="15" fillId="0" borderId="0" xfId="1" applyFont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7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5" xfId="0" quotePrefix="1" applyFont="1" applyFill="1" applyBorder="1" applyAlignment="1">
      <alignment horizontal="center" vertical="top"/>
    </xf>
    <xf numFmtId="0" fontId="13" fillId="4" borderId="5" xfId="0" applyFont="1" applyFill="1" applyBorder="1" applyAlignment="1">
      <alignment vertical="top" wrapText="1"/>
    </xf>
    <xf numFmtId="165" fontId="13" fillId="4" borderId="5" xfId="0" applyNumberFormat="1" applyFont="1" applyFill="1" applyBorder="1" applyAlignment="1">
      <alignment horizontal="center" vertical="top" wrapText="1"/>
    </xf>
    <xf numFmtId="4" fontId="13" fillId="4" borderId="5" xfId="1" applyNumberFormat="1" applyFont="1" applyFill="1" applyBorder="1" applyAlignment="1" applyProtection="1">
      <alignment horizontal="center" vertical="top" wrapText="1"/>
    </xf>
    <xf numFmtId="166" fontId="13" fillId="4" borderId="5" xfId="2" applyFont="1" applyFill="1" applyBorder="1" applyAlignment="1" applyProtection="1">
      <alignment vertical="top"/>
    </xf>
    <xf numFmtId="10" fontId="13" fillId="4" borderId="6" xfId="3" applyNumberFormat="1" applyFont="1" applyFill="1" applyBorder="1" applyAlignment="1">
      <alignment horizontal="right" vertical="top"/>
    </xf>
    <xf numFmtId="49" fontId="27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/>
    <xf numFmtId="49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166" fontId="12" fillId="0" borderId="0" xfId="0" applyNumberFormat="1" applyFont="1" applyAlignment="1">
      <alignment vertical="center"/>
    </xf>
    <xf numFmtId="0" fontId="15" fillId="0" borderId="7" xfId="0" quotePrefix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167" fontId="15" fillId="0" borderId="1" xfId="1" applyNumberFormat="1" applyFont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0" fontId="15" fillId="0" borderId="12" xfId="0" quotePrefix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 wrapText="1"/>
    </xf>
    <xf numFmtId="165" fontId="15" fillId="0" borderId="12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5" xfId="0" quotePrefix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vertical="center" wrapText="1"/>
    </xf>
    <xf numFmtId="165" fontId="13" fillId="5" borderId="15" xfId="0" applyNumberFormat="1" applyFont="1" applyFill="1" applyBorder="1" applyAlignment="1">
      <alignment horizontal="center" vertical="center" wrapText="1"/>
    </xf>
    <xf numFmtId="164" fontId="13" fillId="5" borderId="15" xfId="1" applyFont="1" applyFill="1" applyBorder="1" applyAlignment="1" applyProtection="1">
      <alignment vertical="center"/>
    </xf>
    <xf numFmtId="164" fontId="13" fillId="5" borderId="15" xfId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9" fontId="29" fillId="0" borderId="0" xfId="0" applyNumberFormat="1" applyFont="1" applyBorder="1" applyAlignment="1">
      <alignment vertical="center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top"/>
    </xf>
    <xf numFmtId="164" fontId="29" fillId="0" borderId="0" xfId="1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13" fillId="0" borderId="0" xfId="0" applyFont="1" applyBorder="1" applyAlignment="1">
      <alignment horizontal="center" vertical="center"/>
    </xf>
    <xf numFmtId="10" fontId="3" fillId="0" borderId="19" xfId="3" applyNumberFormat="1" applyFont="1" applyFill="1" applyBorder="1" applyAlignment="1">
      <alignment horizontal="center" vertical="center"/>
    </xf>
    <xf numFmtId="10" fontId="3" fillId="0" borderId="9" xfId="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10" fontId="34" fillId="6" borderId="0" xfId="3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10" fontId="13" fillId="0" borderId="18" xfId="3" applyNumberFormat="1" applyFont="1" applyFill="1" applyBorder="1" applyAlignment="1">
      <alignment horizontal="center" vertical="center"/>
    </xf>
    <xf numFmtId="10" fontId="33" fillId="0" borderId="18" xfId="3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0" fontId="34" fillId="0" borderId="0" xfId="3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vertical="center"/>
    </xf>
    <xf numFmtId="10" fontId="15" fillId="2" borderId="3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4" fontId="12" fillId="0" borderId="20" xfId="1" applyNumberFormat="1" applyFont="1" applyFill="1" applyBorder="1" applyAlignment="1" applyProtection="1">
      <alignment horizontal="center" vertical="center" wrapText="1"/>
    </xf>
    <xf numFmtId="4" fontId="17" fillId="0" borderId="20" xfId="1" applyNumberFormat="1" applyFont="1" applyFill="1" applyBorder="1" applyAlignment="1" applyProtection="1">
      <alignment horizontal="center" vertical="center" wrapText="1"/>
    </xf>
    <xf numFmtId="166" fontId="15" fillId="0" borderId="0" xfId="0" applyNumberFormat="1" applyFont="1" applyFill="1" applyBorder="1" applyAlignment="1">
      <alignment vertical="center"/>
    </xf>
    <xf numFmtId="10" fontId="13" fillId="5" borderId="16" xfId="1" applyNumberFormat="1" applyFont="1" applyFill="1" applyBorder="1" applyAlignment="1" applyProtection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wrapText="1"/>
    </xf>
    <xf numFmtId="49" fontId="6" fillId="0" borderId="0" xfId="0" applyNumberFormat="1" applyFont="1" applyBorder="1" applyAlignment="1">
      <alignment vertical="center"/>
    </xf>
    <xf numFmtId="49" fontId="4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/>
    </xf>
    <xf numFmtId="0" fontId="18" fillId="0" borderId="0" xfId="0" quotePrefix="1" applyFont="1" applyBorder="1" applyAlignment="1">
      <alignment horizontal="center" vertical="center" wrapText="1"/>
    </xf>
    <xf numFmtId="164" fontId="10" fillId="0" borderId="0" xfId="1" applyBorder="1"/>
    <xf numFmtId="49" fontId="41" fillId="0" borderId="0" xfId="0" applyNumberFormat="1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" fontId="12" fillId="0" borderId="6" xfId="1" applyNumberFormat="1" applyFont="1" applyFill="1" applyBorder="1" applyAlignment="1" applyProtection="1">
      <alignment horizontal="center" vertical="center" wrapText="1"/>
    </xf>
    <xf numFmtId="4" fontId="12" fillId="0" borderId="0" xfId="1" applyNumberFormat="1" applyFont="1" applyFill="1" applyBorder="1" applyAlignment="1" applyProtection="1">
      <alignment horizontal="center" vertical="center" wrapText="1"/>
    </xf>
    <xf numFmtId="166" fontId="12" fillId="0" borderId="0" xfId="2" applyFont="1" applyAlignment="1">
      <alignment vertical="top"/>
    </xf>
    <xf numFmtId="0" fontId="15" fillId="0" borderId="20" xfId="0" quotePrefix="1" applyFont="1" applyBorder="1" applyAlignment="1">
      <alignment horizontal="center" vertical="center"/>
    </xf>
    <xf numFmtId="165" fontId="15" fillId="0" borderId="20" xfId="0" applyNumberFormat="1" applyFont="1" applyBorder="1" applyAlignment="1">
      <alignment horizontal="center" vertical="center" wrapText="1"/>
    </xf>
    <xf numFmtId="164" fontId="15" fillId="0" borderId="4" xfId="1" applyFont="1" applyFill="1" applyBorder="1" applyAlignment="1" applyProtection="1">
      <alignment vertical="center" wrapText="1"/>
    </xf>
    <xf numFmtId="166" fontId="12" fillId="0" borderId="20" xfId="2" applyFont="1" applyBorder="1" applyAlignment="1">
      <alignment vertical="center"/>
    </xf>
    <xf numFmtId="166" fontId="12" fillId="0" borderId="0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64" fontId="45" fillId="0" borderId="0" xfId="1" applyFont="1"/>
    <xf numFmtId="0" fontId="45" fillId="0" borderId="0" xfId="0" applyFont="1"/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164" fontId="10" fillId="7" borderId="0" xfId="1" applyFill="1"/>
    <xf numFmtId="164" fontId="10" fillId="0" borderId="0" xfId="1"/>
    <xf numFmtId="0" fontId="3" fillId="0" borderId="20" xfId="0" applyFont="1" applyFill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17" fontId="18" fillId="0" borderId="0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6" fontId="10" fillId="0" borderId="6" xfId="2" applyBorder="1" applyAlignment="1" applyProtection="1">
      <alignment vertical="top"/>
    </xf>
    <xf numFmtId="0" fontId="18" fillId="0" borderId="4" xfId="0" applyFont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166" fontId="47" fillId="0" borderId="6" xfId="2" applyFont="1" applyFill="1" applyBorder="1" applyAlignment="1" applyProtection="1">
      <alignment vertical="top"/>
    </xf>
    <xf numFmtId="166" fontId="39" fillId="0" borderId="5" xfId="2" applyFont="1" applyFill="1" applyBorder="1" applyAlignment="1" applyProtection="1">
      <alignment horizontal="center" vertical="center" wrapText="1"/>
    </xf>
    <xf numFmtId="9" fontId="39" fillId="0" borderId="6" xfId="3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48" fillId="0" borderId="0" xfId="0" applyFont="1" applyFill="1"/>
    <xf numFmtId="168" fontId="48" fillId="0" borderId="35" xfId="0" applyNumberFormat="1" applyFont="1" applyFill="1" applyBorder="1" applyAlignment="1">
      <alignment horizontal="left" vertical="center"/>
    </xf>
    <xf numFmtId="0" fontId="49" fillId="4" borderId="43" xfId="0" applyFont="1" applyFill="1" applyBorder="1" applyAlignment="1">
      <alignment horizontal="center" vertical="center"/>
    </xf>
    <xf numFmtId="0" fontId="49" fillId="4" borderId="44" xfId="0" applyFont="1" applyFill="1" applyBorder="1" applyAlignment="1">
      <alignment horizontal="center" vertical="center"/>
    </xf>
    <xf numFmtId="0" fontId="49" fillId="4" borderId="47" xfId="0" applyFont="1" applyFill="1" applyBorder="1" applyAlignment="1">
      <alignment horizontal="center" vertical="center"/>
    </xf>
    <xf numFmtId="0" fontId="49" fillId="4" borderId="48" xfId="0" applyFont="1" applyFill="1" applyBorder="1" applyAlignment="1">
      <alignment horizontal="center" vertical="center"/>
    </xf>
    <xf numFmtId="0" fontId="49" fillId="4" borderId="49" xfId="0" applyFont="1" applyFill="1" applyBorder="1" applyAlignment="1">
      <alignment horizontal="center" vertical="center"/>
    </xf>
    <xf numFmtId="168" fontId="48" fillId="0" borderId="44" xfId="0" applyNumberFormat="1" applyFont="1" applyFill="1" applyBorder="1" applyAlignment="1">
      <alignment horizontal="center" vertical="center"/>
    </xf>
    <xf numFmtId="168" fontId="48" fillId="0" borderId="45" xfId="0" applyNumberFormat="1" applyFont="1" applyFill="1" applyBorder="1" applyAlignment="1">
      <alignment horizontal="center" vertical="center"/>
    </xf>
    <xf numFmtId="2" fontId="48" fillId="0" borderId="44" xfId="0" applyNumberFormat="1" applyFont="1" applyFill="1" applyBorder="1" applyAlignment="1">
      <alignment horizontal="center" vertical="center"/>
    </xf>
    <xf numFmtId="2" fontId="48" fillId="0" borderId="45" xfId="0" applyNumberFormat="1" applyFont="1" applyFill="1" applyBorder="1" applyAlignment="1">
      <alignment horizontal="center" vertical="center"/>
    </xf>
    <xf numFmtId="168" fontId="48" fillId="0" borderId="50" xfId="0" applyNumberFormat="1" applyFont="1" applyFill="1" applyBorder="1" applyAlignment="1">
      <alignment horizontal="center" vertical="center"/>
    </xf>
    <xf numFmtId="168" fontId="48" fillId="0" borderId="51" xfId="0" applyNumberFormat="1" applyFont="1" applyFill="1" applyBorder="1" applyAlignment="1">
      <alignment horizontal="center" vertical="center"/>
    </xf>
    <xf numFmtId="2" fontId="48" fillId="0" borderId="51" xfId="0" applyNumberFormat="1" applyFont="1" applyFill="1" applyBorder="1" applyAlignment="1">
      <alignment horizontal="center" vertical="center"/>
    </xf>
    <xf numFmtId="169" fontId="48" fillId="0" borderId="35" xfId="0" applyNumberFormat="1" applyFont="1" applyFill="1" applyBorder="1" applyAlignment="1">
      <alignment horizontal="center" vertical="center"/>
    </xf>
    <xf numFmtId="0" fontId="48" fillId="0" borderId="41" xfId="0" quotePrefix="1" applyFont="1" applyFill="1" applyBorder="1" applyAlignment="1">
      <alignment horizontal="center" vertical="center"/>
    </xf>
    <xf numFmtId="0" fontId="49" fillId="0" borderId="53" xfId="0" applyFont="1" applyFill="1" applyBorder="1"/>
    <xf numFmtId="4" fontId="49" fillId="0" borderId="53" xfId="0" applyNumberFormat="1" applyFont="1" applyFill="1" applyBorder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left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0" xfId="0" quotePrefix="1" applyFont="1" applyBorder="1" applyAlignment="1">
      <alignment horizontal="center" vertical="center"/>
    </xf>
    <xf numFmtId="0" fontId="15" fillId="0" borderId="50" xfId="0" applyFont="1" applyBorder="1" applyAlignment="1">
      <alignment vertical="center" wrapText="1"/>
    </xf>
    <xf numFmtId="165" fontId="15" fillId="0" borderId="50" xfId="0" applyNumberFormat="1" applyFont="1" applyBorder="1" applyAlignment="1">
      <alignment horizontal="center" vertical="center" wrapText="1"/>
    </xf>
    <xf numFmtId="0" fontId="15" fillId="0" borderId="51" xfId="0" quotePrefix="1" applyFont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165" fontId="15" fillId="0" borderId="51" xfId="0" applyNumberFormat="1" applyFont="1" applyBorder="1" applyAlignment="1">
      <alignment horizontal="center" vertical="center" wrapText="1"/>
    </xf>
    <xf numFmtId="0" fontId="16" fillId="0" borderId="50" xfId="0" applyFont="1" applyBorder="1" applyAlignment="1">
      <alignment horizontal="right" vertical="center"/>
    </xf>
    <xf numFmtId="0" fontId="13" fillId="0" borderId="5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9" fontId="15" fillId="0" borderId="0" xfId="3" applyFont="1" applyBorder="1" applyAlignment="1" applyProtection="1">
      <alignment horizontal="center" vertical="center"/>
    </xf>
    <xf numFmtId="166" fontId="13" fillId="0" borderId="0" xfId="2" applyFont="1" applyBorder="1" applyAlignment="1" applyProtection="1">
      <alignment horizontal="center" vertical="center"/>
    </xf>
    <xf numFmtId="10" fontId="13" fillId="0" borderId="0" xfId="3" applyNumberFormat="1" applyFont="1" applyBorder="1" applyAlignment="1" applyProtection="1">
      <alignment horizontal="center" vertical="center"/>
    </xf>
    <xf numFmtId="166" fontId="51" fillId="8" borderId="59" xfId="0" applyNumberFormat="1" applyFont="1" applyFill="1" applyBorder="1" applyAlignment="1">
      <alignment vertical="center"/>
    </xf>
    <xf numFmtId="10" fontId="53" fillId="8" borderId="45" xfId="3" applyNumberFormat="1" applyFont="1" applyFill="1" applyBorder="1" applyAlignment="1" applyProtection="1">
      <alignment horizontal="center" vertical="center"/>
    </xf>
    <xf numFmtId="166" fontId="13" fillId="0" borderId="51" xfId="0" applyNumberFormat="1" applyFont="1" applyFill="1" applyBorder="1" applyAlignment="1">
      <alignment vertical="center"/>
    </xf>
    <xf numFmtId="10" fontId="15" fillId="0" borderId="45" xfId="3" applyNumberFormat="1" applyFont="1" applyFill="1" applyBorder="1" applyAlignment="1" applyProtection="1">
      <alignment horizontal="center" vertical="center"/>
    </xf>
    <xf numFmtId="0" fontId="15" fillId="0" borderId="0" xfId="0" applyFo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10" fillId="0" borderId="0" xfId="3" applyNumberFormat="1" applyAlignment="1">
      <alignment horizontal="center" vertical="center"/>
    </xf>
    <xf numFmtId="0" fontId="21" fillId="0" borderId="61" xfId="0" applyFont="1" applyBorder="1"/>
    <xf numFmtId="0" fontId="0" fillId="0" borderId="61" xfId="0" applyBorder="1"/>
    <xf numFmtId="2" fontId="3" fillId="0" borderId="0" xfId="0" applyNumberFormat="1" applyFont="1" applyFill="1"/>
    <xf numFmtId="164" fontId="10" fillId="0" borderId="58" xfId="1" applyBorder="1"/>
    <xf numFmtId="0" fontId="3" fillId="0" borderId="58" xfId="0" applyFont="1" applyFill="1" applyBorder="1"/>
    <xf numFmtId="164" fontId="10" fillId="0" borderId="63" xfId="1" applyBorder="1"/>
    <xf numFmtId="0" fontId="3" fillId="0" borderId="63" xfId="0" applyFont="1" applyFill="1" applyBorder="1"/>
    <xf numFmtId="0" fontId="12" fillId="0" borderId="0" xfId="0" applyFont="1" applyFill="1"/>
    <xf numFmtId="4" fontId="49" fillId="0" borderId="2" xfId="0" applyNumberFormat="1" applyFont="1" applyFill="1" applyBorder="1"/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164" fontId="10" fillId="0" borderId="72" xfId="1" applyBorder="1"/>
    <xf numFmtId="0" fontId="3" fillId="0" borderId="47" xfId="0" applyFont="1" applyFill="1" applyBorder="1"/>
    <xf numFmtId="0" fontId="3" fillId="0" borderId="73" xfId="0" applyFont="1" applyFill="1" applyBorder="1"/>
    <xf numFmtId="0" fontId="3" fillId="0" borderId="74" xfId="0" applyFont="1" applyFill="1" applyBorder="1"/>
    <xf numFmtId="0" fontId="3" fillId="0" borderId="48" xfId="0" applyFont="1" applyFill="1" applyBorder="1"/>
    <xf numFmtId="0" fontId="3" fillId="0" borderId="75" xfId="0" applyFont="1" applyFill="1" applyBorder="1"/>
    <xf numFmtId="164" fontId="10" fillId="0" borderId="73" xfId="1" applyBorder="1"/>
    <xf numFmtId="164" fontId="10" fillId="0" borderId="74" xfId="1" applyBorder="1"/>
    <xf numFmtId="164" fontId="10" fillId="0" borderId="75" xfId="1" applyBorder="1"/>
    <xf numFmtId="0" fontId="3" fillId="0" borderId="76" xfId="0" applyFont="1" applyFill="1" applyBorder="1"/>
    <xf numFmtId="0" fontId="3" fillId="0" borderId="77" xfId="0" applyFont="1" applyFill="1" applyBorder="1"/>
    <xf numFmtId="164" fontId="10" fillId="0" borderId="78" xfId="1" applyBorder="1"/>
    <xf numFmtId="0" fontId="3" fillId="0" borderId="79" xfId="0" applyFont="1" applyFill="1" applyBorder="1"/>
    <xf numFmtId="164" fontId="10" fillId="0" borderId="76" xfId="1" applyBorder="1"/>
    <xf numFmtId="164" fontId="10" fillId="0" borderId="77" xfId="1" applyBorder="1"/>
    <xf numFmtId="164" fontId="10" fillId="0" borderId="69" xfId="1" applyBorder="1"/>
    <xf numFmtId="164" fontId="10" fillId="0" borderId="79" xfId="1" applyBorder="1"/>
    <xf numFmtId="164" fontId="10" fillId="0" borderId="67" xfId="1" applyBorder="1"/>
    <xf numFmtId="164" fontId="10" fillId="0" borderId="71" xfId="1" applyBorder="1"/>
    <xf numFmtId="164" fontId="10" fillId="0" borderId="80" xfId="1" applyBorder="1"/>
    <xf numFmtId="164" fontId="10" fillId="0" borderId="81" xfId="1" applyBorder="1"/>
    <xf numFmtId="0" fontId="49" fillId="0" borderId="2" xfId="0" applyFont="1" applyFill="1" applyBorder="1"/>
    <xf numFmtId="164" fontId="10" fillId="0" borderId="47" xfId="1" applyBorder="1"/>
    <xf numFmtId="164" fontId="10" fillId="0" borderId="48" xfId="1" applyBorder="1"/>
    <xf numFmtId="2" fontId="48" fillId="0" borderId="84" xfId="0" applyNumberFormat="1" applyFont="1" applyFill="1" applyBorder="1" applyAlignment="1">
      <alignment horizontal="center" vertical="center"/>
    </xf>
    <xf numFmtId="2" fontId="48" fillId="0" borderId="85" xfId="0" applyNumberFormat="1" applyFont="1" applyFill="1" applyBorder="1" applyAlignment="1">
      <alignment horizontal="center" vertical="center"/>
    </xf>
    <xf numFmtId="2" fontId="48" fillId="0" borderId="87" xfId="0" applyNumberFormat="1" applyFont="1" applyFill="1" applyBorder="1" applyAlignment="1">
      <alignment horizontal="center" vertical="center"/>
    </xf>
    <xf numFmtId="2" fontId="48" fillId="0" borderId="88" xfId="0" applyNumberFormat="1" applyFont="1" applyFill="1" applyBorder="1" applyAlignment="1">
      <alignment horizontal="center" vertical="center"/>
    </xf>
    <xf numFmtId="2" fontId="48" fillId="0" borderId="49" xfId="0" applyNumberFormat="1" applyFont="1" applyFill="1" applyBorder="1" applyAlignment="1">
      <alignment horizontal="center" vertical="center"/>
    </xf>
    <xf numFmtId="2" fontId="48" fillId="0" borderId="91" xfId="0" applyNumberFormat="1" applyFont="1" applyFill="1" applyBorder="1" applyAlignment="1">
      <alignment horizontal="center" vertical="center"/>
    </xf>
    <xf numFmtId="0" fontId="49" fillId="4" borderId="73" xfId="0" applyFont="1" applyFill="1" applyBorder="1" applyAlignment="1">
      <alignment horizontal="center" vertical="center"/>
    </xf>
    <xf numFmtId="0" fontId="49" fillId="4" borderId="13" xfId="0" applyFont="1" applyFill="1" applyBorder="1" applyAlignment="1">
      <alignment horizontal="center" vertical="center"/>
    </xf>
    <xf numFmtId="0" fontId="49" fillId="4" borderId="94" xfId="0" applyFont="1" applyFill="1" applyBorder="1" applyAlignment="1">
      <alignment horizontal="center" vertical="center"/>
    </xf>
    <xf numFmtId="0" fontId="49" fillId="4" borderId="95" xfId="0" applyFont="1" applyFill="1" applyBorder="1" applyAlignment="1">
      <alignment horizontal="center" vertical="center"/>
    </xf>
    <xf numFmtId="0" fontId="49" fillId="4" borderId="96" xfId="0" applyFont="1" applyFill="1" applyBorder="1" applyAlignment="1">
      <alignment horizontal="center" vertical="center"/>
    </xf>
    <xf numFmtId="0" fontId="49" fillId="4" borderId="91" xfId="0" applyFont="1" applyFill="1" applyBorder="1" applyAlignment="1">
      <alignment horizontal="center" vertical="center"/>
    </xf>
    <xf numFmtId="164" fontId="10" fillId="0" borderId="97" xfId="1" applyBorder="1"/>
    <xf numFmtId="164" fontId="10" fillId="0" borderId="13" xfId="1" applyBorder="1"/>
    <xf numFmtId="164" fontId="10" fillId="0" borderId="94" xfId="1" applyBorder="1"/>
    <xf numFmtId="0" fontId="3" fillId="0" borderId="13" xfId="0" applyFont="1" applyFill="1" applyBorder="1"/>
    <xf numFmtId="0" fontId="3" fillId="0" borderId="94" xfId="0" applyFont="1" applyFill="1" applyBorder="1"/>
    <xf numFmtId="0" fontId="3" fillId="0" borderId="97" xfId="0" applyFont="1" applyFill="1" applyBorder="1"/>
    <xf numFmtId="0" fontId="12" fillId="0" borderId="65" xfId="0" applyFont="1" applyFill="1" applyBorder="1" applyAlignment="1">
      <alignment horizontal="center" vertical="center" wrapText="1"/>
    </xf>
    <xf numFmtId="10" fontId="10" fillId="0" borderId="0" xfId="3" applyNumberFormat="1" applyAlignment="1">
      <alignment horizontal="center" vertical="center"/>
    </xf>
    <xf numFmtId="164" fontId="15" fillId="0" borderId="0" xfId="1" applyFont="1" applyBorder="1" applyAlignment="1" applyProtection="1">
      <alignment horizontal="center" vertical="center"/>
    </xf>
    <xf numFmtId="0" fontId="22" fillId="0" borderId="2" xfId="0" applyFont="1" applyBorder="1" applyAlignment="1">
      <alignment horizontal="right" wrapText="1"/>
    </xf>
    <xf numFmtId="0" fontId="39" fillId="0" borderId="4" xfId="0" applyFont="1" applyFill="1" applyBorder="1" applyAlignment="1">
      <alignment horizontal="right" vertical="center" wrapText="1"/>
    </xf>
    <xf numFmtId="0" fontId="39" fillId="0" borderId="5" xfId="0" applyFont="1" applyFill="1" applyBorder="1" applyAlignment="1">
      <alignment horizontal="right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3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/>
    </xf>
    <xf numFmtId="0" fontId="51" fillId="8" borderId="59" xfId="0" applyFont="1" applyFill="1" applyBorder="1" applyAlignment="1">
      <alignment horizontal="center" vertical="center"/>
    </xf>
    <xf numFmtId="0" fontId="51" fillId="8" borderId="45" xfId="0" applyFont="1" applyFill="1" applyBorder="1" applyAlignment="1">
      <alignment horizontal="center" vertical="center"/>
    </xf>
    <xf numFmtId="166" fontId="52" fillId="8" borderId="59" xfId="2" applyFont="1" applyFill="1" applyBorder="1" applyAlignment="1" applyProtection="1">
      <alignment horizontal="center" vertical="center"/>
    </xf>
    <xf numFmtId="166" fontId="52" fillId="8" borderId="45" xfId="2" applyFont="1" applyFill="1" applyBorder="1" applyAlignment="1" applyProtection="1">
      <alignment horizontal="center" vertical="center"/>
    </xf>
    <xf numFmtId="10" fontId="51" fillId="8" borderId="59" xfId="0" applyNumberFormat="1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166" fontId="13" fillId="0" borderId="51" xfId="2" applyFont="1" applyFill="1" applyBorder="1" applyAlignment="1" applyProtection="1">
      <alignment horizontal="center" vertical="center"/>
    </xf>
    <xf numFmtId="166" fontId="13" fillId="0" borderId="45" xfId="2" applyFont="1" applyFill="1" applyBorder="1" applyAlignment="1" applyProtection="1">
      <alignment horizontal="center" vertical="center"/>
    </xf>
    <xf numFmtId="0" fontId="13" fillId="0" borderId="59" xfId="0" applyFont="1" applyFill="1" applyBorder="1" applyAlignment="1">
      <alignment horizontal="center" vertical="top"/>
    </xf>
    <xf numFmtId="0" fontId="13" fillId="0" borderId="45" xfId="0" applyFont="1" applyFill="1" applyBorder="1" applyAlignment="1">
      <alignment horizontal="center" vertical="top"/>
    </xf>
    <xf numFmtId="0" fontId="13" fillId="0" borderId="59" xfId="0" applyFont="1" applyFill="1" applyBorder="1" applyAlignment="1">
      <alignment horizontal="left" vertical="top" wrapText="1"/>
    </xf>
    <xf numFmtId="0" fontId="13" fillId="0" borderId="45" xfId="0" applyFont="1" applyFill="1" applyBorder="1" applyAlignment="1">
      <alignment horizontal="left" vertical="top" wrapText="1"/>
    </xf>
    <xf numFmtId="166" fontId="13" fillId="0" borderId="59" xfId="2" applyFont="1" applyFill="1" applyBorder="1" applyAlignment="1" applyProtection="1">
      <alignment horizontal="center" vertical="top"/>
    </xf>
    <xf numFmtId="166" fontId="13" fillId="0" borderId="45" xfId="2" applyFont="1" applyFill="1" applyBorder="1" applyAlignment="1" applyProtection="1">
      <alignment horizontal="center" vertical="top"/>
    </xf>
    <xf numFmtId="10" fontId="13" fillId="0" borderId="59" xfId="3" applyNumberFormat="1" applyFont="1" applyFill="1" applyBorder="1" applyAlignment="1" applyProtection="1">
      <alignment horizontal="center" vertical="top"/>
    </xf>
    <xf numFmtId="10" fontId="13" fillId="0" borderId="45" xfId="3" applyNumberFormat="1" applyFont="1" applyFill="1" applyBorder="1" applyAlignment="1" applyProtection="1">
      <alignment horizontal="center" vertical="top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4" fontId="39" fillId="0" borderId="59" xfId="1" applyNumberFormat="1" applyFont="1" applyFill="1" applyBorder="1" applyAlignment="1" applyProtection="1">
      <alignment horizontal="center" vertical="center" wrapText="1"/>
    </xf>
    <xf numFmtId="4" fontId="39" fillId="0" borderId="60" xfId="1" applyNumberFormat="1" applyFont="1" applyFill="1" applyBorder="1" applyAlignment="1" applyProtection="1">
      <alignment horizontal="center" vertical="center" wrapText="1"/>
    </xf>
    <xf numFmtId="49" fontId="48" fillId="0" borderId="63" xfId="0" quotePrefix="1" applyNumberFormat="1" applyFont="1" applyFill="1" applyBorder="1" applyAlignment="1">
      <alignment horizontal="center" vertical="center"/>
    </xf>
    <xf numFmtId="0" fontId="48" fillId="0" borderId="90" xfId="0" applyNumberFormat="1" applyFont="1" applyFill="1" applyBorder="1" applyAlignment="1">
      <alignment horizontal="center" vertical="center"/>
    </xf>
    <xf numFmtId="49" fontId="48" fillId="0" borderId="24" xfId="0" applyNumberFormat="1" applyFont="1" applyFill="1" applyBorder="1" applyAlignment="1">
      <alignment horizontal="center" vertical="center"/>
    </xf>
    <xf numFmtId="4" fontId="48" fillId="0" borderId="46" xfId="0" applyNumberFormat="1" applyFont="1" applyFill="1" applyBorder="1" applyAlignment="1">
      <alignment horizontal="center" vertical="center"/>
    </xf>
    <xf numFmtId="0" fontId="48" fillId="0" borderId="46" xfId="0" applyFont="1" applyFill="1" applyBorder="1" applyAlignment="1">
      <alignment horizontal="center" vertical="center" wrapText="1"/>
    </xf>
    <xf numFmtId="170" fontId="48" fillId="0" borderId="46" xfId="0" applyNumberFormat="1" applyFont="1" applyFill="1" applyBorder="1" applyAlignment="1">
      <alignment horizontal="center" vertical="center" wrapText="1"/>
    </xf>
    <xf numFmtId="2" fontId="48" fillId="0" borderId="46" xfId="0" applyNumberFormat="1" applyFont="1" applyFill="1" applyBorder="1" applyAlignment="1">
      <alignment horizontal="center" vertical="center" wrapText="1"/>
    </xf>
    <xf numFmtId="171" fontId="48" fillId="0" borderId="46" xfId="0" applyNumberFormat="1" applyFont="1" applyFill="1" applyBorder="1" applyAlignment="1">
      <alignment horizontal="center" vertical="center" wrapText="1"/>
    </xf>
    <xf numFmtId="170" fontId="48" fillId="0" borderId="11" xfId="0" applyNumberFormat="1" applyFont="1" applyFill="1" applyBorder="1" applyAlignment="1">
      <alignment horizontal="center" vertical="center" wrapText="1"/>
    </xf>
    <xf numFmtId="170" fontId="48" fillId="0" borderId="24" xfId="0" applyNumberFormat="1" applyFont="1" applyFill="1" applyBorder="1" applyAlignment="1">
      <alignment horizontal="center" vertical="center" wrapText="1"/>
    </xf>
    <xf numFmtId="49" fontId="48" fillId="0" borderId="76" xfId="0" quotePrefix="1" applyNumberFormat="1" applyFont="1" applyFill="1" applyBorder="1" applyAlignment="1">
      <alignment horizontal="center" vertical="center"/>
    </xf>
    <xf numFmtId="0" fontId="48" fillId="0" borderId="89" xfId="0" applyNumberFormat="1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2" fontId="48" fillId="0" borderId="24" xfId="0" applyNumberFormat="1" applyFont="1" applyFill="1" applyBorder="1" applyAlignment="1">
      <alignment horizontal="center" vertical="center" wrapText="1"/>
    </xf>
    <xf numFmtId="4" fontId="48" fillId="0" borderId="24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 wrapText="1"/>
    </xf>
    <xf numFmtId="171" fontId="48" fillId="0" borderId="24" xfId="0" applyNumberFormat="1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45" xfId="0" applyFont="1" applyFill="1" applyBorder="1" applyAlignment="1">
      <alignment horizontal="center" vertical="center" wrapText="1"/>
    </xf>
    <xf numFmtId="4" fontId="48" fillId="0" borderId="44" xfId="0" applyNumberFormat="1" applyFont="1" applyFill="1" applyBorder="1" applyAlignment="1">
      <alignment horizontal="center" vertical="center"/>
    </xf>
    <xf numFmtId="4" fontId="48" fillId="0" borderId="45" xfId="0" applyNumberFormat="1" applyFont="1" applyFill="1" applyBorder="1" applyAlignment="1">
      <alignment horizontal="center" vertical="center"/>
    </xf>
    <xf numFmtId="170" fontId="48" fillId="0" borderId="44" xfId="0" applyNumberFormat="1" applyFont="1" applyFill="1" applyBorder="1" applyAlignment="1">
      <alignment horizontal="center" vertical="center" wrapText="1"/>
    </xf>
    <xf numFmtId="2" fontId="48" fillId="0" borderId="44" xfId="0" applyNumberFormat="1" applyFont="1" applyFill="1" applyBorder="1" applyAlignment="1">
      <alignment horizontal="center" vertical="center" wrapText="1"/>
    </xf>
    <xf numFmtId="2" fontId="48" fillId="0" borderId="45" xfId="0" applyNumberFormat="1" applyFont="1" applyFill="1" applyBorder="1" applyAlignment="1">
      <alignment horizontal="center" vertical="center" wrapText="1"/>
    </xf>
    <xf numFmtId="171" fontId="48" fillId="0" borderId="44" xfId="0" applyNumberFormat="1" applyFont="1" applyFill="1" applyBorder="1" applyAlignment="1">
      <alignment horizontal="center" vertical="center" wrapText="1"/>
    </xf>
    <xf numFmtId="171" fontId="48" fillId="0" borderId="45" xfId="0" applyNumberFormat="1" applyFont="1" applyFill="1" applyBorder="1" applyAlignment="1">
      <alignment horizontal="center" vertical="center" wrapText="1"/>
    </xf>
    <xf numFmtId="2" fontId="48" fillId="0" borderId="11" xfId="0" applyNumberFormat="1" applyFont="1" applyFill="1" applyBorder="1" applyAlignment="1">
      <alignment horizontal="center" vertical="center" wrapText="1"/>
    </xf>
    <xf numFmtId="0" fontId="49" fillId="0" borderId="25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49" fillId="0" borderId="30" xfId="0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31" xfId="0" applyFont="1" applyFill="1" applyBorder="1" applyAlignment="1">
      <alignment horizontal="center" vertical="center" wrapText="1"/>
    </xf>
    <xf numFmtId="0" fontId="49" fillId="0" borderId="32" xfId="0" applyFont="1" applyFill="1" applyBorder="1" applyAlignment="1">
      <alignment horizontal="center"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48" fillId="0" borderId="34" xfId="0" applyFont="1" applyFill="1" applyBorder="1" applyAlignment="1">
      <alignment horizontal="right" vertical="center" wrapText="1"/>
    </xf>
    <xf numFmtId="0" fontId="49" fillId="0" borderId="36" xfId="0" applyFont="1" applyFill="1" applyBorder="1" applyAlignment="1">
      <alignment horizontal="left" vertical="center" wrapText="1"/>
    </xf>
    <xf numFmtId="0" fontId="49" fillId="0" borderId="34" xfId="0" applyFont="1" applyFill="1" applyBorder="1" applyAlignment="1">
      <alignment horizontal="left" vertical="center" wrapText="1"/>
    </xf>
    <xf numFmtId="0" fontId="48" fillId="0" borderId="37" xfId="0" applyFont="1" applyFill="1" applyBorder="1" applyAlignment="1">
      <alignment horizontal="left" vertical="center" wrapText="1"/>
    </xf>
    <xf numFmtId="0" fontId="49" fillId="0" borderId="34" xfId="0" applyFont="1" applyFill="1" applyBorder="1" applyAlignment="1">
      <alignment horizontal="right" vertical="center" wrapText="1"/>
    </xf>
    <xf numFmtId="49" fontId="48" fillId="0" borderId="11" xfId="0" applyNumberFormat="1" applyFont="1" applyFill="1" applyBorder="1" applyAlignment="1">
      <alignment horizontal="center" vertical="center"/>
    </xf>
    <xf numFmtId="4" fontId="48" fillId="0" borderId="11" xfId="0" applyNumberFormat="1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171" fontId="48" fillId="0" borderId="11" xfId="0" applyNumberFormat="1" applyFont="1" applyFill="1" applyBorder="1" applyAlignment="1">
      <alignment horizontal="center" vertical="center" wrapText="1"/>
    </xf>
    <xf numFmtId="49" fontId="49" fillId="0" borderId="56" xfId="0" applyNumberFormat="1" applyFont="1" applyFill="1" applyBorder="1" applyAlignment="1">
      <alignment horizontal="center" vertical="center"/>
    </xf>
    <xf numFmtId="49" fontId="48" fillId="0" borderId="55" xfId="0" applyNumberFormat="1" applyFont="1" applyFill="1" applyBorder="1" applyAlignment="1">
      <alignment horizontal="center" vertical="center"/>
    </xf>
    <xf numFmtId="49" fontId="48" fillId="0" borderId="57" xfId="0" applyNumberFormat="1" applyFont="1" applyFill="1" applyBorder="1" applyAlignment="1">
      <alignment horizontal="center" vertical="center"/>
    </xf>
    <xf numFmtId="49" fontId="48" fillId="0" borderId="8" xfId="0" applyNumberFormat="1" applyFont="1" applyFill="1" applyBorder="1" applyAlignment="1">
      <alignment horizontal="center" vertical="center"/>
    </xf>
    <xf numFmtId="49" fontId="48" fillId="0" borderId="3" xfId="0" applyNumberFormat="1" applyFont="1" applyFill="1" applyBorder="1" applyAlignment="1">
      <alignment horizontal="center" vertical="center"/>
    </xf>
    <xf numFmtId="49" fontId="48" fillId="0" borderId="9" xfId="0" applyNumberFormat="1" applyFont="1" applyFill="1" applyBorder="1" applyAlignment="1">
      <alignment horizontal="center" vertical="center"/>
    </xf>
    <xf numFmtId="0" fontId="48" fillId="0" borderId="38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left" vertical="center" wrapText="1"/>
    </xf>
    <xf numFmtId="0" fontId="49" fillId="0" borderId="30" xfId="0" applyFont="1" applyFill="1" applyBorder="1" applyAlignment="1">
      <alignment horizontal="left" vertical="center" wrapText="1"/>
    </xf>
    <xf numFmtId="0" fontId="48" fillId="0" borderId="40" xfId="0" applyFont="1" applyFill="1" applyBorder="1" applyAlignment="1">
      <alignment horizontal="left" vertical="center" wrapText="1"/>
    </xf>
    <xf numFmtId="0" fontId="49" fillId="0" borderId="30" xfId="0" applyFont="1" applyFill="1" applyBorder="1" applyAlignment="1">
      <alignment horizontal="right" vertical="center" wrapText="1"/>
    </xf>
    <xf numFmtId="0" fontId="49" fillId="4" borderId="52" xfId="0" applyFont="1" applyFill="1" applyBorder="1" applyAlignment="1">
      <alignment horizontal="center" vertical="center" wrapText="1"/>
    </xf>
    <xf numFmtId="0" fontId="49" fillId="4" borderId="29" xfId="0" applyFont="1" applyFill="1" applyBorder="1" applyAlignment="1">
      <alignment horizontal="center" vertical="center" wrapText="1"/>
    </xf>
    <xf numFmtId="0" fontId="49" fillId="4" borderId="48" xfId="0" applyFont="1" applyFill="1" applyBorder="1" applyAlignment="1">
      <alignment horizontal="center" vertical="center" wrapText="1"/>
    </xf>
    <xf numFmtId="0" fontId="49" fillId="4" borderId="47" xfId="0" applyFont="1" applyFill="1" applyBorder="1" applyAlignment="1">
      <alignment horizontal="center" vertical="center" wrapText="1"/>
    </xf>
    <xf numFmtId="0" fontId="49" fillId="4" borderId="42" xfId="0" applyFont="1" applyFill="1" applyBorder="1" applyAlignment="1">
      <alignment horizontal="center" vertical="center" wrapText="1"/>
    </xf>
    <xf numFmtId="49" fontId="49" fillId="0" borderId="39" xfId="0" applyNumberFormat="1" applyFont="1" applyFill="1" applyBorder="1" applyAlignment="1">
      <alignment horizontal="center" vertical="center"/>
    </xf>
    <xf numFmtId="49" fontId="49" fillId="0" borderId="54" xfId="0" applyNumberFormat="1" applyFont="1" applyFill="1" applyBorder="1" applyAlignment="1">
      <alignment horizontal="center" vertical="center"/>
    </xf>
    <xf numFmtId="49" fontId="49" fillId="0" borderId="41" xfId="0" applyNumberFormat="1" applyFont="1" applyFill="1" applyBorder="1" applyAlignment="1">
      <alignment horizontal="center" vertical="center"/>
    </xf>
    <xf numFmtId="49" fontId="49" fillId="0" borderId="8" xfId="0" applyNumberFormat="1" applyFont="1" applyFill="1" applyBorder="1" applyAlignment="1">
      <alignment horizontal="center" vertical="center"/>
    </xf>
    <xf numFmtId="49" fontId="49" fillId="0" borderId="3" xfId="0" applyNumberFormat="1" applyFont="1" applyFill="1" applyBorder="1" applyAlignment="1">
      <alignment horizontal="center" vertical="center"/>
    </xf>
    <xf numFmtId="49" fontId="49" fillId="0" borderId="9" xfId="0" applyNumberFormat="1" applyFont="1" applyFill="1" applyBorder="1" applyAlignment="1">
      <alignment horizontal="center" vertical="center"/>
    </xf>
    <xf numFmtId="0" fontId="49" fillId="4" borderId="43" xfId="0" applyFont="1" applyFill="1" applyBorder="1" applyAlignment="1">
      <alignment horizontal="center" vertical="center" wrapText="1"/>
    </xf>
    <xf numFmtId="0" fontId="49" fillId="4" borderId="92" xfId="0" applyFont="1" applyFill="1" applyBorder="1" applyAlignment="1">
      <alignment horizontal="center" vertical="center" wrapText="1"/>
    </xf>
    <xf numFmtId="0" fontId="49" fillId="4" borderId="93" xfId="0" applyFont="1" applyFill="1" applyBorder="1" applyAlignment="1">
      <alignment horizontal="center" vertical="center" wrapText="1"/>
    </xf>
    <xf numFmtId="0" fontId="49" fillId="4" borderId="74" xfId="0" applyFont="1" applyFill="1" applyBorder="1" applyAlignment="1">
      <alignment horizontal="center" vertical="center" wrapText="1"/>
    </xf>
    <xf numFmtId="49" fontId="49" fillId="0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center" vertical="center"/>
    </xf>
    <xf numFmtId="0" fontId="48" fillId="0" borderId="10" xfId="0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0" xfId="0" applyNumberFormat="1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/>
    </xf>
    <xf numFmtId="49" fontId="48" fillId="0" borderId="82" xfId="0" quotePrefix="1" applyNumberFormat="1" applyFont="1" applyFill="1" applyBorder="1" applyAlignment="1">
      <alignment horizontal="center" vertical="center"/>
    </xf>
    <xf numFmtId="0" fontId="48" fillId="0" borderId="86" xfId="0" applyNumberFormat="1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48" fillId="0" borderId="20" xfId="0" applyNumberFormat="1" applyFont="1" applyFill="1" applyBorder="1" applyAlignment="1">
      <alignment horizontal="center" vertical="center"/>
    </xf>
    <xf numFmtId="49" fontId="48" fillId="0" borderId="8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15" fillId="0" borderId="12" xfId="1" applyFont="1" applyFill="1" applyBorder="1" applyAlignment="1" applyProtection="1">
      <alignment vertical="center"/>
      <protection locked="0"/>
    </xf>
    <xf numFmtId="164" fontId="15" fillId="0" borderId="7" xfId="1" applyFont="1" applyFill="1" applyBorder="1" applyAlignment="1" applyProtection="1">
      <alignment vertical="center"/>
      <protection locked="0"/>
    </xf>
    <xf numFmtId="4" fontId="13" fillId="4" borderId="5" xfId="1" applyNumberFormat="1" applyFont="1" applyFill="1" applyBorder="1" applyAlignment="1" applyProtection="1">
      <alignment horizontal="center" vertical="top" wrapText="1"/>
      <protection locked="0"/>
    </xf>
    <xf numFmtId="164" fontId="13" fillId="5" borderId="15" xfId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right" wrapText="1"/>
      <protection locked="0"/>
    </xf>
    <xf numFmtId="0" fontId="22" fillId="0" borderId="2" xfId="0" applyFont="1" applyBorder="1" applyAlignment="1" applyProtection="1">
      <alignment horizontal="right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49" fontId="29" fillId="0" borderId="0" xfId="0" applyNumberFormat="1" applyFont="1" applyBorder="1" applyAlignment="1" applyProtection="1">
      <alignment vertical="center"/>
      <protection locked="0"/>
    </xf>
    <xf numFmtId="49" fontId="27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 applyProtection="1">
      <alignment horizontal="left" wrapText="1"/>
      <protection locked="0"/>
    </xf>
    <xf numFmtId="0" fontId="3" fillId="0" borderId="62" xfId="0" applyFont="1" applyBorder="1" applyAlignment="1" applyProtection="1">
      <alignment horizontal="left" wrapText="1"/>
      <protection locked="0"/>
    </xf>
    <xf numFmtId="10" fontId="10" fillId="0" borderId="62" xfId="3" applyNumberFormat="1" applyBorder="1" applyAlignment="1" applyProtection="1">
      <alignment horizontal="center" vertical="center"/>
      <protection locked="0"/>
    </xf>
    <xf numFmtId="10" fontId="3" fillId="0" borderId="11" xfId="3" applyNumberFormat="1" applyFont="1" applyBorder="1" applyAlignment="1" applyProtection="1">
      <alignment horizontal="center" vertical="center"/>
      <protection locked="0"/>
    </xf>
    <xf numFmtId="10" fontId="10" fillId="0" borderId="8" xfId="3" applyNumberFormat="1" applyBorder="1" applyAlignment="1" applyProtection="1">
      <alignment horizontal="center" vertical="center"/>
      <protection locked="0"/>
    </xf>
    <xf numFmtId="10" fontId="3" fillId="0" borderId="8" xfId="3" applyNumberFormat="1" applyFont="1" applyBorder="1" applyAlignment="1" applyProtection="1">
      <alignment horizontal="center" vertical="center"/>
      <protection locked="0"/>
    </xf>
    <xf numFmtId="17" fontId="18" fillId="0" borderId="11" xfId="0" quotePrefix="1" applyNumberFormat="1" applyFont="1" applyBorder="1" applyAlignment="1" applyProtection="1">
      <alignment horizontal="center" vertical="center" wrapText="1"/>
      <protection locked="0"/>
    </xf>
    <xf numFmtId="0" fontId="18" fillId="0" borderId="11" xfId="0" quotePrefix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vertical="center"/>
      <protection locked="0"/>
    </xf>
    <xf numFmtId="49" fontId="15" fillId="0" borderId="10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17" fontId="18" fillId="0" borderId="9" xfId="0" quotePrefix="1" applyNumberFormat="1" applyFont="1" applyBorder="1" applyAlignment="1" applyProtection="1">
      <alignment horizontal="center" vertical="center" wrapText="1"/>
      <protection locked="0"/>
    </xf>
    <xf numFmtId="10" fontId="15" fillId="6" borderId="0" xfId="3" applyNumberFormat="1" applyFont="1" applyFill="1" applyBorder="1" applyAlignment="1" applyProtection="1">
      <alignment horizontal="center" vertical="center" wrapText="1"/>
      <protection locked="0"/>
    </xf>
    <xf numFmtId="10" fontId="15" fillId="0" borderId="0" xfId="3" applyNumberFormat="1" applyFont="1" applyFill="1" applyBorder="1" applyAlignment="1" applyProtection="1">
      <alignment horizontal="center" vertical="center" wrapText="1"/>
      <protection locked="0"/>
    </xf>
    <xf numFmtId="10" fontId="15" fillId="6" borderId="0" xfId="3" applyNumberFormat="1" applyFont="1" applyFill="1" applyBorder="1" applyAlignment="1" applyProtection="1">
      <alignment horizontal="center" vertical="center"/>
      <protection locked="0"/>
    </xf>
    <xf numFmtId="10" fontId="15" fillId="0" borderId="0" xfId="3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right" wrapText="1"/>
      <protection locked="0"/>
    </xf>
    <xf numFmtId="0" fontId="22" fillId="0" borderId="2" xfId="0" applyFont="1" applyFill="1" applyBorder="1" applyAlignment="1" applyProtection="1">
      <alignment horizontal="right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2" fillId="0" borderId="46" xfId="0" applyFont="1" applyBorder="1" applyAlignment="1" applyProtection="1">
      <alignment horizontal="left" vertical="top" wrapText="1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166" fontId="13" fillId="0" borderId="58" xfId="2" applyFont="1" applyFill="1" applyBorder="1" applyAlignment="1" applyProtection="1">
      <alignment horizontal="center" vertical="center"/>
      <protection locked="0"/>
    </xf>
    <xf numFmtId="10" fontId="33" fillId="0" borderId="11" xfId="3" applyNumberFormat="1" applyFont="1" applyFill="1" applyBorder="1" applyAlignment="1" applyProtection="1">
      <alignment horizontal="center" vertical="center"/>
      <protection locked="0"/>
    </xf>
  </cellXfs>
  <cellStyles count="6">
    <cellStyle name="Moeda" xfId="2" builtinId="4"/>
    <cellStyle name="Normal" xfId="0" builtinId="0"/>
    <cellStyle name="Normal 2" xfId="4"/>
    <cellStyle name="Normal 3" xfId="5"/>
    <cellStyle name="Porcentagem" xfId="3" builtinId="5"/>
    <cellStyle name="Vírgula" xfId="1" builtinId="3"/>
  </cellStyles>
  <dxfs count="2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9ED7"/>
      <color rgb="FFE1F4FF"/>
      <color rgb="FFCCECFF"/>
      <color rgb="FF003399"/>
      <color rgb="FF33CCFF"/>
      <color rgb="FF3399FF"/>
      <color rgb="FF004274"/>
      <color rgb="FFDFE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checked="Checked" fmlaLink="[3]DADOS!$D$52" lockText="1" noThreeD="1"/>
</file>

<file path=xl/ctrlProps/ctrlProp2.xml><?xml version="1.0" encoding="utf-8"?>
<formControlPr xmlns="http://schemas.microsoft.com/office/spreadsheetml/2009/9/main" objectType="CheckBox" fmlaLink="[3]DADOS!$D$53" lockText="1" noThreeD="1"/>
</file>

<file path=xl/ctrlProps/ctrlProp3.xml><?xml version="1.0" encoding="utf-8"?>
<formControlPr xmlns="http://schemas.microsoft.com/office/spreadsheetml/2009/9/main" objectType="CheckBox" checked="Checked" fmlaLink="[3]DADOS!$D$52" lockText="1" noThreeD="1"/>
</file>

<file path=xl/ctrlProps/ctrlProp4.xml><?xml version="1.0" encoding="utf-8"?>
<formControlPr xmlns="http://schemas.microsoft.com/office/spreadsheetml/2009/9/main" objectType="CheckBox" fmlaLink="[3]DADOS!$D$53" lockText="1" noThreeD="1"/>
</file>

<file path=xl/ctrlProps/ctrlProp5.xml><?xml version="1.0" encoding="utf-8"?>
<formControlPr xmlns="http://schemas.microsoft.com/office/spreadsheetml/2009/9/main" objectType="CheckBox" fmlaLink="$M$4" lockText="1" noThreeD="1"/>
</file>

<file path=xl/ctrlProps/ctrlProp6.xml><?xml version="1.0" encoding="utf-8"?>
<formControlPr xmlns="http://schemas.microsoft.com/office/spreadsheetml/2009/9/main" objectType="CheckBox" checked="Checked" fmlaLink="$M$5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1203293</xdr:colOff>
      <xdr:row>56</xdr:row>
      <xdr:rowOff>117951</xdr:rowOff>
    </xdr:from>
    <xdr:ext cx="3279424" cy="3286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AC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S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R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DF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</m:d>
                      </m:num>
                      <m:den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CP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ISS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CRPB</m:t>
                        </m:r>
                      </m:den>
                    </m:f>
                    <m:r>
                      <a:rPr lang="pt-BR" sz="1100" b="0" i="0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BDI=((1+AC+S+R+G)∗(1+DF)∗(1+L))/(1−CP−ISS−CRPB)−1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32</xdr:row>
          <xdr:rowOff>0</xdr:rowOff>
        </xdr:from>
        <xdr:to>
          <xdr:col>0</xdr:col>
          <xdr:colOff>314325</xdr:colOff>
          <xdr:row>33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32</xdr:row>
          <xdr:rowOff>180975</xdr:rowOff>
        </xdr:from>
        <xdr:to>
          <xdr:col>0</xdr:col>
          <xdr:colOff>314325</xdr:colOff>
          <xdr:row>34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0</xdr:rowOff>
        </xdr:from>
        <xdr:to>
          <xdr:col>0</xdr:col>
          <xdr:colOff>314325</xdr:colOff>
          <xdr:row>52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51</xdr:row>
          <xdr:rowOff>142875</xdr:rowOff>
        </xdr:from>
        <xdr:to>
          <xdr:col>0</xdr:col>
          <xdr:colOff>314325</xdr:colOff>
          <xdr:row>53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</xdr:row>
          <xdr:rowOff>142875</xdr:rowOff>
        </xdr:from>
        <xdr:to>
          <xdr:col>11</xdr:col>
          <xdr:colOff>1228725</xdr:colOff>
          <xdr:row>4</xdr:row>
          <xdr:rowOff>47625</xdr:rowOff>
        </xdr:to>
        <xdr:sp macro="" textlink="">
          <xdr:nvSpPr>
            <xdr:cNvPr id="6145" name="Check Box 1" descr="MÉDIA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</xdr:row>
          <xdr:rowOff>171450</xdr:rowOff>
        </xdr:from>
        <xdr:to>
          <xdr:col>11</xdr:col>
          <xdr:colOff>1228725</xdr:colOff>
          <xdr:row>5</xdr:row>
          <xdr:rowOff>38100</xdr:rowOff>
        </xdr:to>
        <xdr:sp macro="" textlink="">
          <xdr:nvSpPr>
            <xdr:cNvPr id="6146" name="Check Box 2" descr="MÉDIA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1</xdr:rowOff>
    </xdr:from>
    <xdr:to>
      <xdr:col>1</xdr:col>
      <xdr:colOff>933449</xdr:colOff>
      <xdr:row>0</xdr:row>
      <xdr:rowOff>1055141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"/>
          <a:ext cx="1371599" cy="1055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20\Folha\Users\gpp002\OneDrive\Engenharia_PMSA\PROJETOS\2019.003%20-%20REFORMA%20GINASIO%20MARIO%20COVAS\LICITA&#199;&#195;O_R01\PM_V3.0.5-GMC-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20\Folha\LUIZ%20OT&#193;VIO\PROJETOS\047.2024%20-%20Interceptor%20Monjolinho%20(Espraiado%20at&#233;%20Av.%20do%20Bosque)\SUBSTITUI&#199;&#195;O%20DO%20INTERCEPTOR%20UFSCAR%20-%20Estimativa%20de%20Custos%20(fev-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20\Folha\Users\gpp002\OneDrive\PROJETOS\031.2023%20-%20Filtro%2002%20ETA%20VP\PLAN-Filtro_02_ETA-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 DE CUSTOS"/>
      <sheetName val="CRONOGRAMA"/>
      <sheetName val="BDI"/>
    </sheetNames>
    <sheetDataSet>
      <sheetData sheetId="0">
        <row r="5">
          <cell r="A5">
            <v>1</v>
          </cell>
          <cell r="D5" t="str">
            <v>CANTEIRO DE OBRAS</v>
          </cell>
          <cell r="I5">
            <v>23026.61</v>
          </cell>
          <cell r="J5">
            <v>1.2698023479769329E-2</v>
          </cell>
        </row>
        <row r="6">
          <cell r="A6" t="str">
            <v>1.1</v>
          </cell>
          <cell r="B6">
            <v>10775</v>
          </cell>
          <cell r="C6" t="str">
            <v>SINAPI</v>
          </cell>
          <cell r="D6" t="str">
            <v>LOCACAO DE CONTAINER 2,30 X 6,00 M, ALT. 2,50 M, COM 1 SANITARIO, PARA ESCRITORIO, COMPLETO, SEM DIVISORIAS INTERNAS (NAO INCLUI MOBILIZACAO/DESMOBILIZACAO)</v>
          </cell>
          <cell r="E6" t="str">
            <v>MES</v>
          </cell>
          <cell r="F6">
            <v>3</v>
          </cell>
          <cell r="G6">
            <v>862.5</v>
          </cell>
          <cell r="H6">
            <v>1078.1300000000001</v>
          </cell>
          <cell r="I6">
            <v>3234.39</v>
          </cell>
          <cell r="J6">
            <v>1.7836042805576295E-3</v>
          </cell>
        </row>
        <row r="7">
          <cell r="A7" t="str">
            <v>1.2</v>
          </cell>
          <cell r="B7" t="str">
            <v>02.08.020</v>
          </cell>
          <cell r="C7" t="str">
            <v>CPOS</v>
          </cell>
          <cell r="D7" t="str">
            <v>PLACA DE IDENTIFICAÇÃO PARA OBRA</v>
          </cell>
          <cell r="E7" t="str">
            <v>m²</v>
          </cell>
          <cell r="F7">
            <v>17.100000000000001</v>
          </cell>
          <cell r="G7">
            <v>925.95</v>
          </cell>
          <cell r="H7">
            <v>1157.44</v>
          </cell>
          <cell r="I7">
            <v>19792.22</v>
          </cell>
          <cell r="J7">
            <v>1.0914419199211701E-2</v>
          </cell>
        </row>
        <row r="8">
          <cell r="A8">
            <v>2</v>
          </cell>
          <cell r="D8" t="str">
            <v>SERVIÇOS PRELIMINARES</v>
          </cell>
          <cell r="I8">
            <v>42308.4</v>
          </cell>
          <cell r="J8">
            <v>2.3330966068886072E-2</v>
          </cell>
        </row>
        <row r="9">
          <cell r="A9" t="str">
            <v>2.1</v>
          </cell>
          <cell r="B9" t="str">
            <v xml:space="preserve"> 98525 </v>
          </cell>
          <cell r="C9" t="str">
            <v>SINAPI</v>
          </cell>
          <cell r="D9" t="str">
            <v>LIMPEZA MECANIZADA DE CAMADA VEGETAL, VEGETAÇÃO E PEQUENAS ÁRVORES (DIÂMETRO DE TRONCO MENOR QUE 0,20 M), COM TRATOR DE ESTEIRAS.AF_05/2018</v>
          </cell>
          <cell r="E9" t="str">
            <v>m²</v>
          </cell>
          <cell r="F9">
            <v>3495.18</v>
          </cell>
          <cell r="G9">
            <v>0.44</v>
          </cell>
          <cell r="H9">
            <v>0.55000000000000004</v>
          </cell>
          <cell r="I9">
            <v>1922.35</v>
          </cell>
          <cell r="J9">
            <v>1.0600798570147567E-3</v>
          </cell>
        </row>
        <row r="10">
          <cell r="A10" t="str">
            <v>2.2</v>
          </cell>
          <cell r="B10" t="str">
            <v xml:space="preserve"> 101124 </v>
          </cell>
          <cell r="C10" t="str">
            <v>SINAPI</v>
          </cell>
          <cell r="D10" t="str">
            <v>ESCAVAÇÃO HORIZONTAL, INCLUINDO CARGA E DESCARGA DE CAMADA VEGETAL COM TRATOR PÁ CARREGADEIRA</v>
          </cell>
          <cell r="E10" t="str">
            <v>m³</v>
          </cell>
          <cell r="F10">
            <v>699</v>
          </cell>
          <cell r="G10">
            <v>15.64</v>
          </cell>
          <cell r="H10">
            <v>19.55</v>
          </cell>
          <cell r="I10">
            <v>13665.45</v>
          </cell>
          <cell r="J10">
            <v>7.5358120436144873E-3</v>
          </cell>
        </row>
        <row r="11">
          <cell r="A11" t="str">
            <v>2.3</v>
          </cell>
          <cell r="B11" t="str">
            <v xml:space="preserve"> 95875 </v>
          </cell>
          <cell r="C11" t="str">
            <v>SINAPI</v>
          </cell>
          <cell r="D11" t="str">
            <v>TRANSPORTE COM CAMINHÃO BASCULANTE DE 10 M³, EM VIA URBANA PAVIMENTADA, DMT ATÉ 10 KM (UNIDADE: M3XKM). AF_07/2020</v>
          </cell>
          <cell r="E11" t="str">
            <v>M3XKM</v>
          </cell>
          <cell r="F11">
            <v>6990</v>
          </cell>
          <cell r="G11">
            <v>2.59</v>
          </cell>
          <cell r="H11">
            <v>3.24</v>
          </cell>
          <cell r="I11">
            <v>22647.599999999999</v>
          </cell>
          <cell r="J11">
            <v>1.2489018425222985E-2</v>
          </cell>
        </row>
        <row r="12">
          <cell r="A12" t="str">
            <v>2.4</v>
          </cell>
          <cell r="B12">
            <v>13244</v>
          </cell>
          <cell r="C12" t="str">
            <v>SINAPI</v>
          </cell>
          <cell r="D12" t="str">
            <v>CONE DE SINALIZACAO EM PVC RIGIDO COM FAIXA REFLETIVA, H = 70 / 76 CM</v>
          </cell>
          <cell r="E12" t="str">
            <v>UN</v>
          </cell>
          <cell r="F12">
            <v>60</v>
          </cell>
          <cell r="G12">
            <v>51</v>
          </cell>
          <cell r="H12">
            <v>63.75</v>
          </cell>
          <cell r="I12">
            <v>3825</v>
          </cell>
          <cell r="J12">
            <v>2.1092961495468802E-3</v>
          </cell>
        </row>
        <row r="13">
          <cell r="A13" t="str">
            <v>2.5</v>
          </cell>
          <cell r="B13">
            <v>37524</v>
          </cell>
          <cell r="C13" t="str">
            <v>SINAPI</v>
          </cell>
          <cell r="D13" t="str">
            <v>TELA PLASTICA LARANJA, TIPO TAPUME PARA SINALIZACAO, MALHA RETANGULAR, ROLO 1.20 X 50 M (L X C)</v>
          </cell>
          <cell r="E13" t="str">
            <v>M</v>
          </cell>
          <cell r="F13">
            <v>100</v>
          </cell>
          <cell r="G13">
            <v>1.98</v>
          </cell>
          <cell r="H13">
            <v>2.48</v>
          </cell>
          <cell r="I13">
            <v>248</v>
          </cell>
          <cell r="J13">
            <v>1.3675959348696112E-4</v>
          </cell>
        </row>
        <row r="14">
          <cell r="A14">
            <v>3</v>
          </cell>
          <cell r="D14" t="str">
            <v>SERVIÇOS TÉCNICOS</v>
          </cell>
          <cell r="I14">
            <v>10817.130000000001</v>
          </cell>
          <cell r="J14">
            <v>5.9651060544177893E-3</v>
          </cell>
        </row>
        <row r="15">
          <cell r="A15" t="str">
            <v>3.1</v>
          </cell>
          <cell r="B15">
            <v>70010010</v>
          </cell>
          <cell r="C15" t="str">
            <v xml:space="preserve">SABESP </v>
          </cell>
          <cell r="D15" t="str">
            <v>SERVIÇOS DE TOPOGRAFIA, LOCACAO, NIVELAMENTO DE EMISSARIO/REDE COLETORA COM AUXILIO DE EQUIPAMENTO TOPOGRAFICO E ADEQUAÇÕES DE PROJETO SE NECESSÁRIO.</v>
          </cell>
          <cell r="E15" t="str">
            <v>M</v>
          </cell>
          <cell r="F15">
            <v>1024.3499999999999</v>
          </cell>
          <cell r="G15">
            <v>2.75</v>
          </cell>
          <cell r="H15">
            <v>2.75</v>
          </cell>
          <cell r="I15">
            <v>2816.96</v>
          </cell>
          <cell r="J15">
            <v>1.5534125180202822E-3</v>
          </cell>
        </row>
        <row r="16">
          <cell r="A16" t="str">
            <v>3.2</v>
          </cell>
          <cell r="B16">
            <v>70010011</v>
          </cell>
          <cell r="C16" t="str">
            <v xml:space="preserve">SABESP </v>
          </cell>
          <cell r="D16" t="str">
            <v>CADASTRO DE ADUTORAS, COLETORES-TRONCO E INTERCEPTORES (ACIMA DIÂM. 500 MM)</v>
          </cell>
          <cell r="E16" t="str">
            <v>M</v>
          </cell>
          <cell r="F16">
            <v>1024.3499999999999</v>
          </cell>
          <cell r="G16">
            <v>7.81</v>
          </cell>
          <cell r="H16">
            <v>7.81</v>
          </cell>
          <cell r="I16">
            <v>8000.17</v>
          </cell>
          <cell r="J16">
            <v>4.4116935363975067E-3</v>
          </cell>
        </row>
        <row r="17">
          <cell r="A17">
            <v>4</v>
          </cell>
          <cell r="D17" t="str">
            <v>ESCAVAÇÃO DE VALA</v>
          </cell>
          <cell r="I17">
            <v>150384.05000000002</v>
          </cell>
          <cell r="J17">
            <v>8.2929280423075957E-2</v>
          </cell>
        </row>
        <row r="18">
          <cell r="A18" t="str">
            <v xml:space="preserve"> 4.1</v>
          </cell>
          <cell r="B18">
            <v>102276</v>
          </cell>
          <cell r="C18" t="str">
            <v>SINAPI</v>
          </cell>
          <cell r="D18" t="str">
            <v>ESCAVAÇÃO MECANIZADA DE VALA COM PROF. ATÉ 1,5 M (MÉDIA MONTANTE E JUSANTE/UMA COMPOSIÇÃO POR TRECHO), ESCAVADEIRA (0,8 M3), LARG. MENOR QUE 1,5 M, EM SOLO DE 1A CATEGORIA, EM LOCAIS COM ALTO NÍVEL DE INTERFERÊNCIA. AF_02/2021</v>
          </cell>
          <cell r="E18" t="str">
            <v>m³</v>
          </cell>
          <cell r="F18">
            <v>54.88</v>
          </cell>
          <cell r="G18">
            <v>13.71</v>
          </cell>
          <cell r="H18">
            <v>17.14</v>
          </cell>
          <cell r="I18">
            <v>940.64</v>
          </cell>
          <cell r="J18">
            <v>5.1871590329667378E-4</v>
          </cell>
        </row>
        <row r="19">
          <cell r="A19" t="str">
            <v xml:space="preserve"> 4.1</v>
          </cell>
          <cell r="B19" t="str">
            <v xml:space="preserve"> 102329 </v>
          </cell>
          <cell r="C19" t="str">
            <v>SINAPI</v>
          </cell>
          <cell r="D19" t="str">
            <v>ESCAVAÇÃO MECANIZADA DE VALA COM PROF. MAIOR QUE 1,5 M ATÉ 3,0 M (MÉDIA MONTANTE E JUSANTE/UMA COMPOSIÇÃO POR TRECHO), RETROESCAV. (0,26 M3), LARG. DE 0,8 M A 1,5 M, EM SOLO DE 2A CATEGORIA, EM LOCAIS COM BAIXO NÍVEL DE INTERFERÊNCIA. AF_02/2021</v>
          </cell>
          <cell r="E19" t="str">
            <v>m³</v>
          </cell>
          <cell r="F19">
            <v>3966.34</v>
          </cell>
          <cell r="G19">
            <v>9.09</v>
          </cell>
          <cell r="H19">
            <v>11.36</v>
          </cell>
          <cell r="I19">
            <v>45057.62</v>
          </cell>
          <cell r="J19">
            <v>2.484702336568536E-2</v>
          </cell>
        </row>
        <row r="20">
          <cell r="A20" t="str">
            <v xml:space="preserve"> 4.2</v>
          </cell>
          <cell r="B20">
            <v>102312</v>
          </cell>
          <cell r="C20" t="str">
            <v>SINAPI</v>
          </cell>
          <cell r="D20" t="str">
            <v>ESCAVAÇÃO MECANIZADA DE VALA COM PROF. DE 3,0 M ATÉ 4,5 M (MÉDIA MONTANTE E JUSANTE/UMA COMPOSIÇÃO POR TRECHO), ESCAVADEIRA (1,2 M3), LARG. DE 1,5 M A 2,5 M, EM SOLO DE 2A CATEGORIA, EM LOCAIS COM ALTO NÍVEL DE INTERFERÊNCIA. AF_02/2021</v>
          </cell>
          <cell r="E20" t="str">
            <v>m³</v>
          </cell>
          <cell r="F20">
            <v>788.38</v>
          </cell>
          <cell r="G20">
            <v>12.64</v>
          </cell>
          <cell r="H20">
            <v>15.8</v>
          </cell>
          <cell r="I20">
            <v>12456.4</v>
          </cell>
          <cell r="J20">
            <v>6.8690814528668646E-3</v>
          </cell>
        </row>
        <row r="21">
          <cell r="A21" t="str">
            <v xml:space="preserve"> 4.3</v>
          </cell>
          <cell r="B21">
            <v>101623</v>
          </cell>
          <cell r="C21" t="str">
            <v>SINAPI</v>
          </cell>
          <cell r="D21" t="str">
            <v>PREPARO DE FUNDO DE VALA COM LARGURA MENOR QUE 1,5 M, COM CAMADA DE BRITA, LANÇAMENTO MECANIZADO. AF_08/2020</v>
          </cell>
          <cell r="E21" t="str">
            <v>m³</v>
          </cell>
          <cell r="F21">
            <v>100.43</v>
          </cell>
          <cell r="G21">
            <v>224.89</v>
          </cell>
          <cell r="H21">
            <v>281.11</v>
          </cell>
          <cell r="I21">
            <v>28231.88</v>
          </cell>
          <cell r="J21">
            <v>1.5568469484567209E-2</v>
          </cell>
        </row>
        <row r="22">
          <cell r="A22" t="str">
            <v xml:space="preserve"> 4.4</v>
          </cell>
          <cell r="B22">
            <v>4730</v>
          </cell>
          <cell r="C22" t="str">
            <v>SINAPI</v>
          </cell>
          <cell r="D22" t="str">
            <v>PEDRA DE MAO OU PEDRA RACHAO PARA ARRIMO/FUNDACAO (POSTO PEDREIRA/FORNECEDOR, SEM FRETE)</v>
          </cell>
          <cell r="E22" t="str">
            <v>m³</v>
          </cell>
          <cell r="F22">
            <v>301.3</v>
          </cell>
          <cell r="G22">
            <v>65.45</v>
          </cell>
          <cell r="H22">
            <v>81.81</v>
          </cell>
          <cell r="I22">
            <v>24649.35</v>
          </cell>
          <cell r="J22">
            <v>1.359288341015252E-2</v>
          </cell>
        </row>
        <row r="23">
          <cell r="A23" t="str">
            <v xml:space="preserve"> 4.5</v>
          </cell>
          <cell r="B23">
            <v>95875</v>
          </cell>
          <cell r="C23" t="str">
            <v>SINAPI</v>
          </cell>
          <cell r="D23" t="str">
            <v>TRANSPORTE COM CAMINHÃO BASCULANTE DE 10 M³, EM VIA URBANA PAVIMENTADA, DMT =30 KM (UNIDADE: M3XKM). (brita + rachão)</v>
          </cell>
          <cell r="E23" t="str">
            <v>M³XKM</v>
          </cell>
          <cell r="F23">
            <v>12051.9</v>
          </cell>
          <cell r="G23">
            <v>2.59</v>
          </cell>
          <cell r="H23">
            <v>3.24</v>
          </cell>
          <cell r="I23">
            <v>39048.160000000003</v>
          </cell>
          <cell r="J23">
            <v>2.1533106806507323E-2</v>
          </cell>
        </row>
        <row r="24">
          <cell r="A24">
            <v>5</v>
          </cell>
          <cell r="D24" t="str">
            <v>ESCORAMENTO DE VALA</v>
          </cell>
          <cell r="I24">
            <v>166851.45000000001</v>
          </cell>
          <cell r="J24">
            <v>9.2010227720604909E-2</v>
          </cell>
        </row>
        <row r="25">
          <cell r="A25" t="str">
            <v xml:space="preserve"> 5.1 </v>
          </cell>
          <cell r="B25" t="str">
            <v xml:space="preserve"> 08.01.100 </v>
          </cell>
          <cell r="C25" t="str">
            <v>CPOS</v>
          </cell>
          <cell r="D25" t="str">
            <v>ESCORAMENTO COM ESTACAS PRANCHAS METÁLICAS - PROFUNDIDADE ATÉ 4 M</v>
          </cell>
          <cell r="E25" t="str">
            <v>m²</v>
          </cell>
          <cell r="F25">
            <v>359.4</v>
          </cell>
          <cell r="G25">
            <v>371.4</v>
          </cell>
          <cell r="H25">
            <v>464.25</v>
          </cell>
          <cell r="I25">
            <v>166851.45000000001</v>
          </cell>
          <cell r="J25">
            <v>9.2010227720604909E-2</v>
          </cell>
        </row>
        <row r="26">
          <cell r="A26">
            <v>6</v>
          </cell>
          <cell r="D26" t="str">
            <v>FORNECIMENTO E ASSENTAMENTO DE TUBOS</v>
          </cell>
          <cell r="I26">
            <v>1057456.25</v>
          </cell>
          <cell r="J26">
            <v>0.58313422129131576</v>
          </cell>
        </row>
        <row r="27">
          <cell r="A27" t="str">
            <v>6.1</v>
          </cell>
          <cell r="B27">
            <v>90735</v>
          </cell>
          <cell r="C27" t="str">
            <v>SINAPI</v>
          </cell>
          <cell r="D27" t="str">
            <v>ASSENTAMENTO DE TUBO DE PVC PARA REDE COLETORA DE ESGOTO DE PAREDE MACIÇA, DN 200 MM, JUNTA ELÁSTICA (NÃO INCLUI FORNECIMENTO). AF_01/2021</v>
          </cell>
          <cell r="E27" t="str">
            <v>M</v>
          </cell>
          <cell r="F27">
            <v>68.599999999999994</v>
          </cell>
          <cell r="G27">
            <v>5.56</v>
          </cell>
          <cell r="H27">
            <v>6.95</v>
          </cell>
          <cell r="I27">
            <v>476.77</v>
          </cell>
          <cell r="J27">
            <v>2.6291480397894537E-4</v>
          </cell>
        </row>
        <row r="28">
          <cell r="A28" t="str">
            <v>6.2</v>
          </cell>
          <cell r="B28">
            <v>41930</v>
          </cell>
          <cell r="C28" t="str">
            <v>SINAPI</v>
          </cell>
          <cell r="D28" t="str">
            <v>TUBO COLETOR DE ESGOTO PVC, JEI, DN 200 MM (NBR 7362)</v>
          </cell>
          <cell r="E28" t="str">
            <v>M</v>
          </cell>
          <cell r="F28">
            <v>68.599999999999994</v>
          </cell>
          <cell r="G28">
            <v>145.85</v>
          </cell>
          <cell r="H28">
            <v>182.31</v>
          </cell>
          <cell r="I28">
            <v>12506.47</v>
          </cell>
          <cell r="J28">
            <v>6.8966925530519127E-3</v>
          </cell>
        </row>
        <row r="29">
          <cell r="A29" t="str">
            <v>6.3</v>
          </cell>
          <cell r="B29" t="str">
            <v xml:space="preserve"> 90747 </v>
          </cell>
          <cell r="C29" t="str">
            <v>SINAPI</v>
          </cell>
          <cell r="D29" t="str">
            <v>ASSENTAMENTO DE TUBO DE PEAD CORRUGADO DE DUPLA PAREDE PARA REDE COLETORA DE ESGOTO, DN 600 MM, JUNTA ELÁSTICA INTEGRADA (NÃO INCLUI FORNECIMENTO). AF_01/2021</v>
          </cell>
          <cell r="E29" t="str">
            <v>M</v>
          </cell>
          <cell r="F29">
            <v>1004.35</v>
          </cell>
          <cell r="G29">
            <v>18.68</v>
          </cell>
          <cell r="H29">
            <v>23.35</v>
          </cell>
          <cell r="I29">
            <v>23451.57</v>
          </cell>
          <cell r="J29">
            <v>1.2932367660608922E-2</v>
          </cell>
        </row>
        <row r="30">
          <cell r="A30" t="str">
            <v>6.4</v>
          </cell>
          <cell r="B30" t="str">
            <v xml:space="preserve"> 00041782 </v>
          </cell>
          <cell r="C30" t="str">
            <v>SINAPI</v>
          </cell>
          <cell r="D30" t="str">
            <v>TUBO CORRUGADO PEAD, PAREDE DUPLA, INTERNA LISA, JEI, DN/DI 600 MM, PARA SANEAMENTO (DRENAGEM/ESGOTO)</v>
          </cell>
          <cell r="E30" t="str">
            <v>M</v>
          </cell>
          <cell r="F30">
            <v>1004.35</v>
          </cell>
          <cell r="G30">
            <v>742.48</v>
          </cell>
          <cell r="H30">
            <v>928.1</v>
          </cell>
          <cell r="I30">
            <v>932137.24</v>
          </cell>
          <cell r="J30">
            <v>0.51402705651797542</v>
          </cell>
        </row>
        <row r="31">
          <cell r="A31" t="str">
            <v>6.5</v>
          </cell>
          <cell r="B31">
            <v>172113</v>
          </cell>
          <cell r="C31" t="str">
            <v>SBC (02/2024)</v>
          </cell>
          <cell r="D31" t="str">
            <v>TUBO AÇO CHAPA ASTM A36 5/16"" DN 600mm</v>
          </cell>
          <cell r="E31" t="str">
            <v>M</v>
          </cell>
          <cell r="F31">
            <v>20</v>
          </cell>
          <cell r="G31">
            <v>3555.37</v>
          </cell>
          <cell r="H31">
            <v>4444.21</v>
          </cell>
          <cell r="I31">
            <v>88884.2</v>
          </cell>
          <cell r="J31">
            <v>4.90151897557006E-2</v>
          </cell>
        </row>
        <row r="32">
          <cell r="A32">
            <v>7</v>
          </cell>
          <cell r="D32" t="str">
            <v>POÇOS DE VISITA</v>
          </cell>
          <cell r="I32">
            <v>67053.66</v>
          </cell>
          <cell r="J32">
            <v>3.697673904601978E-2</v>
          </cell>
        </row>
        <row r="33">
          <cell r="A33" t="str">
            <v xml:space="preserve"> 7.1 </v>
          </cell>
          <cell r="B33" t="str">
            <v xml:space="preserve"> 98405 </v>
          </cell>
          <cell r="C33" t="str">
            <v>SINAPI</v>
          </cell>
          <cell r="D33" t="str">
            <v>BASE PARA POÇO DE VISITA CIRCULAR PARA  ESGOTO, EM ALVENARIA COM TIJOLOS CERÂMICOS MACIÇOS, DIÂMETRO INTERNO = 1,0 M, PROFUNDIDADE = 1,40 M, EXCLUINDO TAMPÃO. AF_12/2020</v>
          </cell>
          <cell r="E33" t="str">
            <v>UN</v>
          </cell>
          <cell r="F33">
            <v>15</v>
          </cell>
          <cell r="G33">
            <v>2661.1</v>
          </cell>
          <cell r="H33">
            <v>3326.38</v>
          </cell>
          <cell r="I33">
            <v>49895.7</v>
          </cell>
          <cell r="J33">
            <v>2.7514982454626472E-2</v>
          </cell>
        </row>
        <row r="34">
          <cell r="A34" t="str">
            <v xml:space="preserve"> 7.2</v>
          </cell>
          <cell r="B34" t="str">
            <v xml:space="preserve"> 00011301 </v>
          </cell>
          <cell r="C34" t="str">
            <v>SINAPI</v>
          </cell>
          <cell r="D34" t="str">
            <v>TAMPAO FOFO ARTICULADO, CLASSE B125 CARGA MAX 12,5 T, REDONDO, TAMPA 600 MM (COM INSCRICAO EM RELEVO DO TIPO DE REDE)</v>
          </cell>
          <cell r="E34" t="str">
            <v>UN</v>
          </cell>
          <cell r="F34">
            <v>15</v>
          </cell>
          <cell r="G34">
            <v>629.09</v>
          </cell>
          <cell r="H34">
            <v>786.36</v>
          </cell>
          <cell r="I34">
            <v>11795.4</v>
          </cell>
          <cell r="J34">
            <v>6.5045730202262135E-3</v>
          </cell>
        </row>
        <row r="35">
          <cell r="A35" t="str">
            <v xml:space="preserve"> 7.3</v>
          </cell>
          <cell r="B35">
            <v>98050</v>
          </cell>
          <cell r="C35" t="str">
            <v>SINAPI</v>
          </cell>
          <cell r="D35" t="str">
            <v>CHAMINÉ CIRCULAR PARA POÇO DE VISITA PARA ESGOTO, EM CONCRETO PRÉ-MOLDADO, DIÂMETRO INTERNO = 1,0 M. AF_12/2020</v>
          </cell>
          <cell r="E35" t="str">
            <v>M</v>
          </cell>
          <cell r="F35">
            <v>14.93</v>
          </cell>
          <cell r="G35">
            <v>287.33999999999997</v>
          </cell>
          <cell r="H35">
            <v>359.18</v>
          </cell>
          <cell r="I35">
            <v>5362.56</v>
          </cell>
          <cell r="J35">
            <v>2.9571835711670897E-3</v>
          </cell>
        </row>
        <row r="36">
          <cell r="A36">
            <v>8</v>
          </cell>
          <cell r="D36" t="str">
            <v>REATERRO DE VALA</v>
          </cell>
          <cell r="I36">
            <v>66237.09</v>
          </cell>
          <cell r="J36">
            <v>3.6526441540964745E-2</v>
          </cell>
        </row>
        <row r="37">
          <cell r="A37" t="str">
            <v xml:space="preserve"> 8.1</v>
          </cell>
          <cell r="B37" t="str">
            <v xml:space="preserve"> 93381 </v>
          </cell>
          <cell r="C37" t="str">
            <v>SINAPI</v>
          </cell>
          <cell r="D37" t="str">
            <v>REATERRO MECANIZADO DE VALA COM RETROESCAVADEIRA (CAPACIDADE DA CAÇAMBA DA RETRO: 0,26 M³ / POTÊNCIA: 88 HP), LARGURA DE 0,8 A 1,5 M, PROFUNDIDADE DE 1,5 A 3,0 M, COM SOLO (SEM SUBSTITUIÇÃO) DE 1ª CATEGORIA EM LOCAIS COM BAIXO NÍVEL DE INTERFERÊNCIA. INCLUSO COMPACTAÇÃO DE SOLO.</v>
          </cell>
          <cell r="E37" t="str">
            <v>m³</v>
          </cell>
          <cell r="F37">
            <v>3279.78</v>
          </cell>
          <cell r="G37">
            <v>13.13</v>
          </cell>
          <cell r="H37">
            <v>16.41</v>
          </cell>
          <cell r="I37">
            <v>53821.19</v>
          </cell>
          <cell r="J37">
            <v>2.9679693812034263E-2</v>
          </cell>
        </row>
        <row r="38">
          <cell r="A38" t="str">
            <v xml:space="preserve"> 8.2</v>
          </cell>
          <cell r="B38">
            <v>93373</v>
          </cell>
          <cell r="C38" t="str">
            <v>SINAPI</v>
          </cell>
          <cell r="D38" t="str">
            <v>REATERRO MECANIZADO DE VALA COM ESCAVADEIRA HIDRÁULICA (CAPACIDADE DA CAÇAMBA: 0,8 M³/POTÊNCIA: 111 HP), LARGURA DE 1,5 A 2,5 M, PROFUNDIDADE DE 3,0 A 6,0 M, COM SOLO (SEM SUBSTITUIÇÃO) DE 1ª CATEGORIA, COM COMPACTADOR DE SOLOS DE PERCUSSÃO. AF_08/2023</v>
          </cell>
          <cell r="E38" t="str">
            <v>m³</v>
          </cell>
          <cell r="F38">
            <v>686.72</v>
          </cell>
          <cell r="G38">
            <v>14.46</v>
          </cell>
          <cell r="H38">
            <v>18.079999999999998</v>
          </cell>
          <cell r="I38">
            <v>12415.9</v>
          </cell>
          <cell r="J38">
            <v>6.8467477289304857E-3</v>
          </cell>
        </row>
        <row r="39">
          <cell r="A39">
            <v>9</v>
          </cell>
          <cell r="D39" t="str">
            <v>SOLO DE BOTA FORA</v>
          </cell>
          <cell r="I39">
            <v>23468.41</v>
          </cell>
          <cell r="J39">
            <v>1.2941654078166664E-2</v>
          </cell>
        </row>
        <row r="40">
          <cell r="A40" t="str">
            <v xml:space="preserve"> 9.1 </v>
          </cell>
          <cell r="B40" t="str">
            <v xml:space="preserve"> 101124 </v>
          </cell>
          <cell r="C40" t="str">
            <v>SINAPI</v>
          </cell>
          <cell r="D40" t="str">
            <v>ESCAVAÇÃO HORIZONTAL, INCLUINDO CARGA E DESCARGA EM SOLO DE 1A CATEGORIA. AF_07/2020</v>
          </cell>
          <cell r="E40" t="str">
            <v>m³</v>
          </cell>
          <cell r="F40">
            <v>451.75</v>
          </cell>
          <cell r="G40">
            <v>15.64</v>
          </cell>
          <cell r="H40">
            <v>19.55</v>
          </cell>
          <cell r="I40">
            <v>8831.7099999999991</v>
          </cell>
          <cell r="J40">
            <v>4.8702462475593922E-3</v>
          </cell>
        </row>
        <row r="41">
          <cell r="A41" t="str">
            <v xml:space="preserve"> 9.2</v>
          </cell>
          <cell r="B41" t="str">
            <v xml:space="preserve"> 95875 </v>
          </cell>
          <cell r="C41" t="str">
            <v>SINAPI</v>
          </cell>
          <cell r="D41" t="str">
            <v>TRANSPORTE COM CAMINHÃO BASCULANTE DE 10 M³, EM VIA URBANA PAVIMENTADA, DMT ATÉ 10 KM (UNIDADE: M3XKM). AF_07/2020</v>
          </cell>
          <cell r="E41" t="str">
            <v>M³XKM</v>
          </cell>
          <cell r="F41">
            <v>4517.5</v>
          </cell>
          <cell r="G41">
            <v>2.59</v>
          </cell>
          <cell r="H41">
            <v>3.24</v>
          </cell>
          <cell r="I41">
            <v>14636.7</v>
          </cell>
          <cell r="J41">
            <v>8.0714078306072731E-3</v>
          </cell>
        </row>
        <row r="42">
          <cell r="A42">
            <v>10</v>
          </cell>
          <cell r="D42" t="str">
            <v>TRAVESSIA AÉREA</v>
          </cell>
          <cell r="I42">
            <v>119078.70000000001</v>
          </cell>
          <cell r="J42">
            <v>6.5665945987724988E-2</v>
          </cell>
        </row>
        <row r="43">
          <cell r="A43" t="str">
            <v xml:space="preserve"> 10.1 </v>
          </cell>
          <cell r="B43" t="str">
            <v>01.17.051</v>
          </cell>
          <cell r="C43" t="str">
            <v>CPOS</v>
          </cell>
          <cell r="D43" t="str">
            <v>PROJETO EXECUTIVO DE ESTRUTURA EM FORMATO A1 PARA TRAVESSIA AÉREA</v>
          </cell>
          <cell r="E43" t="str">
            <v>UNID.</v>
          </cell>
          <cell r="F43">
            <v>1</v>
          </cell>
          <cell r="G43">
            <v>2400.17</v>
          </cell>
          <cell r="H43">
            <v>3000.21</v>
          </cell>
          <cell r="I43">
            <v>3000.21</v>
          </cell>
          <cell r="J43">
            <v>1.6544657257077241E-3</v>
          </cell>
        </row>
        <row r="44">
          <cell r="A44" t="str">
            <v xml:space="preserve"> 10.2</v>
          </cell>
          <cell r="B44">
            <v>96521</v>
          </cell>
          <cell r="C44" t="str">
            <v>SINAPI</v>
          </cell>
          <cell r="D44" t="str">
            <v>ESCAVAÇÃO MECANIZADA PARA BLOCO DE COROAMENTO OU SAPATA COM RETROESCAVADEIRA (INCLUINDO ESCAVAÇÃO PARA COLOCAÇÃO DE FÔRMAS). AF_06/2017</v>
          </cell>
          <cell r="E44" t="str">
            <v>m³</v>
          </cell>
          <cell r="F44">
            <v>2.88</v>
          </cell>
          <cell r="G44">
            <v>48.74</v>
          </cell>
          <cell r="H44">
            <v>60.93</v>
          </cell>
          <cell r="I44">
            <v>175.48</v>
          </cell>
          <cell r="J44">
            <v>9.6768441391499732E-5</v>
          </cell>
        </row>
        <row r="45">
          <cell r="A45" t="str">
            <v xml:space="preserve"> 10.3</v>
          </cell>
          <cell r="B45" t="str">
            <v>12.12.010</v>
          </cell>
          <cell r="C45" t="str">
            <v>CPOS</v>
          </cell>
          <cell r="D45" t="str">
            <v>TAXA DE MOBILIZAÇÃO E DESMOBILIZAÇÃO DE EQUIPAMENTOS PARA EXECUÇÃO DE ESTACA TIPO HÉLICE CONTÍNUA EM SOLO</v>
          </cell>
          <cell r="E45" t="str">
            <v>TX</v>
          </cell>
          <cell r="F45">
            <v>1</v>
          </cell>
          <cell r="G45">
            <v>34574.31</v>
          </cell>
          <cell r="H45">
            <v>43217.89</v>
          </cell>
          <cell r="I45">
            <v>43217.89</v>
          </cell>
          <cell r="J45">
            <v>2.3832504305500813E-2</v>
          </cell>
        </row>
        <row r="46">
          <cell r="A46" t="str">
            <v xml:space="preserve"> 10.4</v>
          </cell>
          <cell r="B46">
            <v>100651</v>
          </cell>
          <cell r="C46" t="str">
            <v>SINAPI</v>
          </cell>
          <cell r="D46" t="str">
            <v>ESTACA HÉLICE CONTÍNUA, DIÂMETRO DE 30 CM, INCLUSO CONCRETO FCK=30MPA E ARMADURA MÍNIMA (EXCLUSIVE MOBILIZAÇÃO, DESMOBILIZAÇÃO E BOMBEAMENTO). AF_12/2019</v>
          </cell>
          <cell r="E46" t="str">
            <v>M</v>
          </cell>
          <cell r="F46">
            <v>48</v>
          </cell>
          <cell r="G46">
            <v>130.54</v>
          </cell>
          <cell r="H46">
            <v>163.18</v>
          </cell>
          <cell r="I46">
            <v>7832.64</v>
          </cell>
          <cell r="J46">
            <v>4.3193091222972222E-3</v>
          </cell>
        </row>
        <row r="47">
          <cell r="A47" t="str">
            <v xml:space="preserve"> 10.5</v>
          </cell>
          <cell r="B47">
            <v>96531</v>
          </cell>
          <cell r="C47" t="str">
            <v>SINAPI</v>
          </cell>
          <cell r="D47" t="str">
            <v>FABRICAÇÃO, MONTAGEM E DESMONTAGEM DE FÔRMA PARA BLOCO DE COROAMENTO, EM MADEIRA SERRADA, E=25 MM, 2 UTILIZAÇÕES. AF_06/2017</v>
          </cell>
          <cell r="E47" t="str">
            <v>m²</v>
          </cell>
          <cell r="F47">
            <v>6</v>
          </cell>
          <cell r="G47">
            <v>153.12</v>
          </cell>
          <cell r="H47">
            <v>191.4</v>
          </cell>
          <cell r="I47">
            <v>1148.4000000000001</v>
          </cell>
          <cell r="J47">
            <v>6.3328514984042808E-4</v>
          </cell>
        </row>
        <row r="48">
          <cell r="A48" t="str">
            <v xml:space="preserve"> 10.6</v>
          </cell>
          <cell r="B48">
            <v>96546</v>
          </cell>
          <cell r="C48" t="str">
            <v>SINAPI</v>
          </cell>
          <cell r="D48" t="str">
            <v>ARMAÇÃO DE BLOCO, VIGA BALDRAME OU SAPATA UTILIZANDO AÇO CA-50 DE 10 MM - MONTAGEM. AF_06/2017</v>
          </cell>
          <cell r="E48" t="str">
            <v>KG</v>
          </cell>
          <cell r="F48">
            <v>70</v>
          </cell>
          <cell r="G48">
            <v>13.09</v>
          </cell>
          <cell r="H48">
            <v>16.36</v>
          </cell>
          <cell r="I48">
            <v>1145.2</v>
          </cell>
          <cell r="J48">
            <v>6.3152050992446723E-4</v>
          </cell>
        </row>
        <row r="49">
          <cell r="A49" t="str">
            <v xml:space="preserve"> 10.7</v>
          </cell>
          <cell r="B49">
            <v>96558</v>
          </cell>
          <cell r="C49" t="str">
            <v>SINAPI</v>
          </cell>
          <cell r="D49" t="str">
            <v>CONCRETAGEM DE SAPATAS, FCK 30 MPA, COM USO DE BOMBA ? LANÇAMENTO, ADENSAMENTO E ACABAMENTO. AF_11/2016</v>
          </cell>
          <cell r="E49" t="str">
            <v>m³</v>
          </cell>
          <cell r="F49">
            <v>1.73</v>
          </cell>
          <cell r="G49">
            <v>604.82000000000005</v>
          </cell>
          <cell r="H49">
            <v>756.03</v>
          </cell>
          <cell r="I49">
            <v>1307.93</v>
          </cell>
          <cell r="J49">
            <v>7.2125796415081073E-4</v>
          </cell>
        </row>
        <row r="50">
          <cell r="A50" t="str">
            <v xml:space="preserve"> 10.8</v>
          </cell>
          <cell r="B50">
            <v>96619</v>
          </cell>
          <cell r="C50" t="str">
            <v>SINAPI</v>
          </cell>
          <cell r="D50" t="str">
            <v>LASTRO DE CONCRETO MAGRO, APLICADO EM BLOCOS DE COROAMENTO OU SAPATAS, ESPESSURA DE 5 CM. AF_08/2017</v>
          </cell>
          <cell r="E50" t="str">
            <v>m²</v>
          </cell>
          <cell r="F50">
            <v>2.88</v>
          </cell>
          <cell r="G50">
            <v>31.19</v>
          </cell>
          <cell r="H50">
            <v>38.99</v>
          </cell>
          <cell r="I50">
            <v>112.29</v>
          </cell>
          <cell r="J50">
            <v>6.1922317551011549E-5</v>
          </cell>
        </row>
        <row r="51">
          <cell r="A51" t="str">
            <v xml:space="preserve"> 10.9</v>
          </cell>
          <cell r="B51">
            <v>96252</v>
          </cell>
          <cell r="C51" t="str">
            <v>SINAPI</v>
          </cell>
          <cell r="D51" t="str">
            <v>FABRICAÇÃO DE FÔRMA PARA PILARES CIRCULARES, EM CHAPA DE MADEIRA COMPENSADA RESINADA. AF_06/2017</v>
          </cell>
          <cell r="E51" t="str">
            <v>m²</v>
          </cell>
          <cell r="F51">
            <v>7.8</v>
          </cell>
          <cell r="G51">
            <v>251.84</v>
          </cell>
          <cell r="H51">
            <v>314.8</v>
          </cell>
          <cell r="I51">
            <v>2455.44</v>
          </cell>
          <cell r="J51">
            <v>1.3540523235146121E-3</v>
          </cell>
        </row>
        <row r="52">
          <cell r="A52" t="str">
            <v xml:space="preserve"> 10.10</v>
          </cell>
          <cell r="B52">
            <v>96543</v>
          </cell>
          <cell r="C52" t="str">
            <v>SINAPI</v>
          </cell>
          <cell r="D52" t="str">
            <v>ARMAÇÃO DE ESTRUTURAS DIVERSAS DE CONCRETO ARMADO, EXCETO VIGAS, PILARES, LAJES E FUNDAÇÕES, UTILIZANDO AÇO CA-50 DE 12,5 MM - MONTAGEM. AF_06/2022</v>
          </cell>
          <cell r="E52" t="str">
            <v>kg</v>
          </cell>
          <cell r="F52">
            <v>25</v>
          </cell>
          <cell r="G52">
            <v>18.98</v>
          </cell>
          <cell r="H52">
            <v>23.73</v>
          </cell>
          <cell r="I52">
            <v>593.25</v>
          </cell>
          <cell r="J52">
            <v>3.2714769691991806E-4</v>
          </cell>
        </row>
        <row r="53">
          <cell r="A53" t="str">
            <v xml:space="preserve"> 10.11</v>
          </cell>
          <cell r="B53">
            <v>92915</v>
          </cell>
          <cell r="C53" t="str">
            <v>SINAPI</v>
          </cell>
          <cell r="D53" t="str">
            <v>ARMAÇÃO DE ESTRUTURAS DIVERSAS DE CONCRETO ARMADO, EXCETO VIGAS, PILARES, LAJES E FUNDAÇÕES, UTILIZANDO AÇO CA-60 DE 5,0 MM - MONTAGEM. AF_06/2022</v>
          </cell>
          <cell r="E53" t="str">
            <v>kg</v>
          </cell>
          <cell r="F53">
            <v>10</v>
          </cell>
          <cell r="G53">
            <v>17.8</v>
          </cell>
          <cell r="H53">
            <v>22.25</v>
          </cell>
          <cell r="I53">
            <v>222.5</v>
          </cell>
          <cell r="J53">
            <v>1.2269761915664857E-4</v>
          </cell>
        </row>
        <row r="54">
          <cell r="A54" t="str">
            <v xml:space="preserve"> 10.12</v>
          </cell>
          <cell r="B54">
            <v>103669</v>
          </cell>
          <cell r="C54" t="str">
            <v>SINAPI</v>
          </cell>
          <cell r="D54" t="str">
            <v>CONCRETAGEM DE PILARES, FCK = 25 MPA, COM USO DE BALDES - LANÇAMENTO, ADENSAMENTO E ACABAMENTO. AF_02/2022</v>
          </cell>
          <cell r="E54" t="str">
            <v>M³</v>
          </cell>
          <cell r="F54">
            <v>0.9</v>
          </cell>
          <cell r="G54">
            <v>929.27</v>
          </cell>
          <cell r="H54">
            <v>1161.5899999999999</v>
          </cell>
          <cell r="I54">
            <v>1045.43</v>
          </cell>
          <cell r="J54">
            <v>5.7650234604465225E-4</v>
          </cell>
        </row>
        <row r="55">
          <cell r="A55" t="str">
            <v xml:space="preserve"> 10.13</v>
          </cell>
          <cell r="B55" t="str">
            <v>15.03.030</v>
          </cell>
          <cell r="C55" t="str">
            <v>CPOS</v>
          </cell>
          <cell r="D55" t="str">
            <v>FORNECIMENTO E MONTAGEM DE PERFIL METÁLICO H EM AÇO ASTM-A36, DIMENSÃO 360X112</v>
          </cell>
          <cell r="E55" t="str">
            <v>KG</v>
          </cell>
          <cell r="F55">
            <v>1792</v>
          </cell>
          <cell r="G55">
            <v>23.82</v>
          </cell>
          <cell r="H55">
            <v>29.78</v>
          </cell>
          <cell r="I55">
            <v>53365.760000000002</v>
          </cell>
          <cell r="J55">
            <v>2.9428546950494881E-2</v>
          </cell>
        </row>
        <row r="56">
          <cell r="A56" t="str">
            <v xml:space="preserve"> 10.14</v>
          </cell>
          <cell r="B56">
            <v>89273</v>
          </cell>
          <cell r="C56" t="str">
            <v>SINAPI</v>
          </cell>
          <cell r="D56" t="str">
            <v>GUINDASTE HIDRÁULICO AUTOPROPELIDO, COM LANÇA TELESCÓPICA 28,80 M, CAPACIDADE MÁXIMA 30 T, POTÊNCIA 97 KW, TRAÇÃO 4 X 4 - CHI DIURNO. AF_11/2014</v>
          </cell>
          <cell r="E56" t="str">
            <v>CHI</v>
          </cell>
          <cell r="F56">
            <v>6</v>
          </cell>
          <cell r="G56">
            <v>104.06</v>
          </cell>
          <cell r="H56">
            <v>130.08000000000001</v>
          </cell>
          <cell r="I56">
            <v>780.48</v>
          </cell>
          <cell r="J56">
            <v>4.3039567550283631E-4</v>
          </cell>
        </row>
        <row r="57">
          <cell r="A57" t="str">
            <v xml:space="preserve"> 10.15</v>
          </cell>
          <cell r="B57">
            <v>89272</v>
          </cell>
          <cell r="C57" t="str">
            <v>SINAPI</v>
          </cell>
          <cell r="D57" t="str">
            <v>GUINDASTE HIDRÁULICO AUTOPROPELIDO, COM LANÇA TELESCÓPICA 28,80 M, CAPACIDADE MÁXIMA 30 T, POTÊNCIA 97 KW, TRAÇÃO 4 X 4 - CHP DIURNO. AF_11/2014</v>
          </cell>
          <cell r="E57" t="str">
            <v>CHP</v>
          </cell>
          <cell r="F57">
            <v>10</v>
          </cell>
          <cell r="G57">
            <v>214.06</v>
          </cell>
          <cell r="H57">
            <v>267.58</v>
          </cell>
          <cell r="I57">
            <v>2675.8</v>
          </cell>
          <cell r="J57">
            <v>1.475569839727462E-3</v>
          </cell>
        </row>
        <row r="58">
          <cell r="A58">
            <v>11</v>
          </cell>
          <cell r="D58" t="str">
            <v>INTERFERÊNCIAS</v>
          </cell>
          <cell r="I58">
            <v>59880.25</v>
          </cell>
          <cell r="J58">
            <v>3.3020962289909687E-2</v>
          </cell>
        </row>
        <row r="59">
          <cell r="A59" t="str">
            <v xml:space="preserve"> 11.1 </v>
          </cell>
          <cell r="B59" t="str">
            <v xml:space="preserve"> 94287 </v>
          </cell>
          <cell r="C59" t="str">
            <v>SINAPI</v>
          </cell>
          <cell r="D59" t="str">
            <v>EXECUÇÃO DE SARJETA DE CONCRETO USINADO, MOLDADA  IN LOCO  EM TRECHO RETO, 30 CM BASE X 10 CM ALTURA. AF_06/2016</v>
          </cell>
          <cell r="E59" t="str">
            <v>M</v>
          </cell>
          <cell r="F59">
            <v>9.1999999999999993</v>
          </cell>
          <cell r="G59">
            <v>47.47</v>
          </cell>
          <cell r="H59">
            <v>59.34</v>
          </cell>
          <cell r="I59">
            <v>545.92999999999995</v>
          </cell>
          <cell r="J59">
            <v>3.010530841626479E-4</v>
          </cell>
        </row>
        <row r="60">
          <cell r="A60" t="str">
            <v xml:space="preserve"> 11.2</v>
          </cell>
          <cell r="B60" t="str">
            <v xml:space="preserve"> 94273 </v>
          </cell>
          <cell r="C60" t="str">
            <v>SINAPI</v>
          </cell>
          <cell r="D60" t="str">
            <v>ASSENTAMENTO DE GUIA (MEIO-FIO) EM TRECHO RETO, CONFECCIONADA EM CONCRETO PRÉ-FABRICADO, DIMENSÕES 100X15X13X30 CM (COMPRIMENTO X BASE INFERIOR X BASE SUPERIOR X ALTURA), PARA VIAS URBANAS (USO VIÁRIO). AF_06/2016</v>
          </cell>
          <cell r="E60" t="str">
            <v>M</v>
          </cell>
          <cell r="F60">
            <v>9.1999999999999993</v>
          </cell>
          <cell r="G60">
            <v>55.52</v>
          </cell>
          <cell r="H60">
            <v>69.400000000000006</v>
          </cell>
          <cell r="I60">
            <v>638.48</v>
          </cell>
          <cell r="J60">
            <v>3.5208977923207636E-4</v>
          </cell>
        </row>
        <row r="61">
          <cell r="A61" t="str">
            <v xml:space="preserve"> 11.3</v>
          </cell>
          <cell r="B61" t="str">
            <v xml:space="preserve"> 00004059 </v>
          </cell>
          <cell r="C61" t="str">
            <v>SINAPI</v>
          </cell>
          <cell r="D61" t="str">
            <v>MEIO-FIO OU GUIA DE CONCRETO, PRE-MOLDADO, COMP 1 M, *30 X 12/15* CM (H X L1/L2)</v>
          </cell>
          <cell r="E61" t="str">
            <v>M</v>
          </cell>
          <cell r="F61">
            <v>9.1999999999999993</v>
          </cell>
          <cell r="G61">
            <v>29.72</v>
          </cell>
          <cell r="H61">
            <v>37.15</v>
          </cell>
          <cell r="I61">
            <v>341.78</v>
          </cell>
          <cell r="J61">
            <v>1.8847457202408695E-4</v>
          </cell>
        </row>
        <row r="62">
          <cell r="A62" t="str">
            <v xml:space="preserve"> 11.4</v>
          </cell>
          <cell r="B62" t="str">
            <v xml:space="preserve"> 98522 </v>
          </cell>
          <cell r="C62" t="str">
            <v>SINAPI</v>
          </cell>
          <cell r="D62" t="str">
            <v>ALAMBRADO EM MOURÕES DE CONCRETO, COM TELA DE ARAME GALVANIZADO (INCLUSIVE MURETA EM CONCRETO). AF_05/2018</v>
          </cell>
          <cell r="E62" t="str">
            <v>M</v>
          </cell>
          <cell r="F62">
            <v>24</v>
          </cell>
          <cell r="G62">
            <v>170.52</v>
          </cell>
          <cell r="H62">
            <v>213.15</v>
          </cell>
          <cell r="I62">
            <v>5115.6000000000004</v>
          </cell>
          <cell r="J62">
            <v>2.8209974856528157E-3</v>
          </cell>
        </row>
        <row r="63">
          <cell r="A63" t="str">
            <v xml:space="preserve"> 11.5</v>
          </cell>
          <cell r="B63">
            <v>102990</v>
          </cell>
          <cell r="C63" t="str">
            <v>SINAPI</v>
          </cell>
          <cell r="D63" t="str">
            <v>CANALETA MEIA CANA PRÉ-MOLDADA DE CONCRETO (D = 30 CM) - FORNECIMENTO E INSTALAÇÃO. AF_08/2021</v>
          </cell>
          <cell r="E63" t="str">
            <v>M</v>
          </cell>
          <cell r="F63">
            <v>2</v>
          </cell>
          <cell r="G63">
            <v>49.92</v>
          </cell>
          <cell r="H63">
            <v>62.4</v>
          </cell>
          <cell r="I63">
            <v>124.8</v>
          </cell>
          <cell r="J63">
            <v>6.8820956722470745E-5</v>
          </cell>
        </row>
        <row r="64">
          <cell r="A64" t="str">
            <v xml:space="preserve"> 11.6</v>
          </cell>
          <cell r="B64">
            <v>70180007</v>
          </cell>
          <cell r="C64" t="str">
            <v xml:space="preserve">SABESP </v>
          </cell>
          <cell r="D64" t="str">
            <v>SONDAGEM DE REDES E PEÇAS LOCALIZADAS (CAVAS) SEM PAVIMENTAÇÃO</v>
          </cell>
          <cell r="E64" t="str">
            <v>UNID.</v>
          </cell>
          <cell r="F64">
            <v>3</v>
          </cell>
          <cell r="G64">
            <v>416.17</v>
          </cell>
          <cell r="H64">
            <v>416.17</v>
          </cell>
          <cell r="I64">
            <v>1248.51</v>
          </cell>
          <cell r="J64">
            <v>6.8849080671131379E-4</v>
          </cell>
        </row>
        <row r="65">
          <cell r="A65" t="str">
            <v xml:space="preserve"> 11.7</v>
          </cell>
          <cell r="B65">
            <v>96001</v>
          </cell>
          <cell r="C65" t="str">
            <v>SINAPI</v>
          </cell>
          <cell r="D65" t="str">
            <v>FRESAGEM E REMOÇÃO DE PAVIMENTO ASFÁLTICO E CALÇADA. INCLUSO CARGA. EXCLUSIVE TRANSPORTE</v>
          </cell>
          <cell r="E65" t="str">
            <v>m²</v>
          </cell>
          <cell r="F65">
            <v>56.89</v>
          </cell>
          <cell r="G65">
            <v>7.09</v>
          </cell>
          <cell r="H65">
            <v>8.86</v>
          </cell>
          <cell r="I65">
            <v>504.05</v>
          </cell>
          <cell r="J65">
            <v>2.779583592625111E-4</v>
          </cell>
        </row>
        <row r="66">
          <cell r="A66" t="str">
            <v xml:space="preserve"> 11.8</v>
          </cell>
          <cell r="B66">
            <v>95875</v>
          </cell>
          <cell r="C66" t="str">
            <v>SINAPI</v>
          </cell>
          <cell r="D66" t="str">
            <v xml:space="preserve">TRANSPORTE COM CAMINHÃO BASCULANTE DE 10 M³, EM VIA URBANA PAVIMENTADA, DMT =10 KM (UNIDADE: M3XKM). (bota fora) </v>
          </cell>
          <cell r="E66" t="str">
            <v>M³XKM</v>
          </cell>
          <cell r="F66">
            <v>739.57</v>
          </cell>
          <cell r="G66">
            <v>2.59</v>
          </cell>
          <cell r="H66">
            <v>3.24</v>
          </cell>
          <cell r="I66">
            <v>2396.21</v>
          </cell>
          <cell r="J66">
            <v>1.3213899415701253E-3</v>
          </cell>
        </row>
        <row r="67">
          <cell r="A67" t="str">
            <v xml:space="preserve"> 11.9</v>
          </cell>
          <cell r="B67">
            <v>94993</v>
          </cell>
          <cell r="C67" t="str">
            <v>SINAPI</v>
          </cell>
          <cell r="D67" t="str">
            <v xml:space="preserve"> RECOMPOSIÇÃO DE PASSEIO DE ACORDO COM AS CARACTERÍSTICAS INICIAIS</v>
          </cell>
          <cell r="E67" t="str">
            <v>m²</v>
          </cell>
          <cell r="F67">
            <v>11.97</v>
          </cell>
          <cell r="G67">
            <v>69.099999999999994</v>
          </cell>
          <cell r="H67">
            <v>86.38</v>
          </cell>
          <cell r="I67">
            <v>1033.97</v>
          </cell>
          <cell r="J67">
            <v>5.7018272934561767E-4</v>
          </cell>
        </row>
        <row r="68">
          <cell r="A68" t="str">
            <v xml:space="preserve"> 11.10</v>
          </cell>
          <cell r="B68">
            <v>101849</v>
          </cell>
          <cell r="C68" t="str">
            <v>SINAPI</v>
          </cell>
          <cell r="D68" t="str">
            <v xml:space="preserve">RECOMPOSIÇÃO DE BASE E OU SUB-BASE PARA FECHAMENTO DE VALAS DE BRITA GRADUADA SIMPLES - INCLUSO RETIRADA E COLOCAÇÃO DO MATERIAL. AF_12/2020 </v>
          </cell>
          <cell r="E68" t="str">
            <v>M³</v>
          </cell>
          <cell r="F68">
            <v>6.74</v>
          </cell>
          <cell r="G68">
            <v>141.53</v>
          </cell>
          <cell r="H68">
            <v>176.91</v>
          </cell>
          <cell r="I68">
            <v>1192.3699999999999</v>
          </cell>
          <cell r="J68">
            <v>6.5753240518567663E-4</v>
          </cell>
        </row>
        <row r="69">
          <cell r="A69" t="str">
            <v xml:space="preserve"> 11.11</v>
          </cell>
          <cell r="B69">
            <v>95875</v>
          </cell>
          <cell r="C69" t="str">
            <v>SINAPI</v>
          </cell>
          <cell r="D69" t="str">
            <v>TRANSPORTE COM CAMINHÃO BASCULANTE DE 10 M³, EM VIA URBANA PAVIMENTADA, DMT =30 KM (UNIDADE: M3XKM). (BGS)</v>
          </cell>
          <cell r="E69" t="str">
            <v>M³XKM</v>
          </cell>
          <cell r="F69">
            <v>262.86</v>
          </cell>
          <cell r="G69">
            <v>2.59</v>
          </cell>
          <cell r="H69">
            <v>3.24</v>
          </cell>
          <cell r="I69">
            <v>851.67</v>
          </cell>
          <cell r="J69">
            <v>4.6965339913322647E-4</v>
          </cell>
        </row>
        <row r="70">
          <cell r="A70" t="str">
            <v xml:space="preserve"> 11.12</v>
          </cell>
          <cell r="B70">
            <v>102098</v>
          </cell>
          <cell r="C70" t="str">
            <v>SINAPI</v>
          </cell>
          <cell r="D70" t="str">
            <v xml:space="preserve">RECOMPOSIÇÃO DE REVESTIMENTO EM CONCRETO ASFÁLTICO (AQUISIÇÃO EM USINA), PARA O FECHAMENTO DE VALAS </v>
          </cell>
          <cell r="E70" t="str">
            <v>M³</v>
          </cell>
          <cell r="F70">
            <v>1.8</v>
          </cell>
          <cell r="G70">
            <v>1953.55</v>
          </cell>
          <cell r="H70">
            <v>2441.94</v>
          </cell>
          <cell r="I70">
            <v>4395.49</v>
          </cell>
          <cell r="J70">
            <v>2.423892845064527E-3</v>
          </cell>
        </row>
        <row r="71">
          <cell r="A71" t="str">
            <v xml:space="preserve"> 11.13</v>
          </cell>
          <cell r="B71">
            <v>95875</v>
          </cell>
          <cell r="C71" t="str">
            <v>SINAPI</v>
          </cell>
          <cell r="D71" t="str">
            <v>TRANSPORTE COM CAMINHÃO BASCULANTE DE 10 M³, EM VIA URBANA PAVIMENTADA, DMT =30 KM (UNIDADE: M3XKM). (pavimento)</v>
          </cell>
          <cell r="E71" t="str">
            <v>M³XKM</v>
          </cell>
          <cell r="F71">
            <v>10251.540000000001</v>
          </cell>
          <cell r="G71">
            <v>2.59</v>
          </cell>
          <cell r="H71">
            <v>3.24</v>
          </cell>
          <cell r="I71">
            <v>33214.99</v>
          </cell>
          <cell r="J71">
            <v>1.831640536319951E-2</v>
          </cell>
        </row>
        <row r="72">
          <cell r="A72" t="str">
            <v xml:space="preserve"> 11.14</v>
          </cell>
          <cell r="B72">
            <v>98504</v>
          </cell>
          <cell r="C72" t="str">
            <v>SINAPI</v>
          </cell>
          <cell r="D72" t="str">
            <v>PLANTIO DE GRAMA BATATAIS EM PLACAS.</v>
          </cell>
          <cell r="E72" t="str">
            <v>m²</v>
          </cell>
          <cell r="F72">
            <v>360</v>
          </cell>
          <cell r="G72">
            <v>18.39</v>
          </cell>
          <cell r="H72">
            <v>22.99</v>
          </cell>
          <cell r="I72">
            <v>8276.4</v>
          </cell>
          <cell r="J72">
            <v>4.5640205626430843E-3</v>
          </cell>
        </row>
        <row r="73">
          <cell r="A73">
            <v>12</v>
          </cell>
          <cell r="D73" t="str">
            <v>REMOÇÃO DE TUBULAÇÃO E PVS DESATIVADOS</v>
          </cell>
          <cell r="I73">
            <v>26839.119999999999</v>
          </cell>
          <cell r="J73">
            <v>1.4800432019144223E-2</v>
          </cell>
        </row>
        <row r="74">
          <cell r="A74" t="str">
            <v>12.1</v>
          </cell>
          <cell r="B74" t="str">
            <v xml:space="preserve"> 98525 </v>
          </cell>
          <cell r="C74" t="str">
            <v>SINAPI</v>
          </cell>
          <cell r="D74" t="str">
            <v>LIMPEZA MECANIZADA DE CAMADA VEGETAL, VEGETAÇÃO E PEQUENAS ÁRVORES (DIÂMETRO DE TRONCO MENOR QUE 0,20 M), COM TRATOR DE ESTEIRAS.AF_05/2018</v>
          </cell>
          <cell r="E74" t="str">
            <v>m²</v>
          </cell>
          <cell r="F74">
            <v>655.8</v>
          </cell>
          <cell r="G74">
            <v>0.44</v>
          </cell>
          <cell r="H74">
            <v>0.55000000000000004</v>
          </cell>
          <cell r="I74">
            <v>360.69</v>
          </cell>
          <cell r="J74">
            <v>1.9890249102746775E-4</v>
          </cell>
        </row>
        <row r="75">
          <cell r="A75" t="str">
            <v>12.2</v>
          </cell>
          <cell r="B75">
            <v>90105</v>
          </cell>
          <cell r="C75" t="str">
            <v>SINAPI</v>
          </cell>
          <cell r="D75" t="str">
            <v>ESCAVAÇÃO MECANIZADA DE VALA COM PROFUNDIDADE ATÉ 1,5 M (MÉDIA MONTANTE E JUSANTE/UMA COMPOSIÇÃO POR TRECHO), MINIRETROESCAVADEIRA, LARGURA MENOR QUE 0,8 M, EM SOLO DE 1A CATEGORIA, LOCAIS COM BAIXO NÍVEL DE INTERFERÊNCIA. AF_02/2021</v>
          </cell>
          <cell r="E75" t="str">
            <v>m³</v>
          </cell>
          <cell r="F75">
            <v>95.26</v>
          </cell>
          <cell r="G75">
            <v>9.51</v>
          </cell>
          <cell r="H75">
            <v>11.89</v>
          </cell>
          <cell r="I75">
            <v>1132.6400000000001</v>
          </cell>
          <cell r="J75">
            <v>6.2459429825432111E-4</v>
          </cell>
        </row>
        <row r="76">
          <cell r="A76" t="str">
            <v>12.3</v>
          </cell>
          <cell r="B76" t="str">
            <v xml:space="preserve"> 101124 </v>
          </cell>
          <cell r="C76" t="str">
            <v>SINAPI</v>
          </cell>
          <cell r="D76" t="str">
            <v xml:space="preserve">ESCAVAÇÃO HORIZONTAL, INCLUINDO CARGA E DESCARGA DE CAMADA VEGETAL E ENTULHOS DA TUBULAÇÃO DE CONCRETO </v>
          </cell>
          <cell r="E76" t="str">
            <v>m³</v>
          </cell>
          <cell r="F76">
            <v>226.42</v>
          </cell>
          <cell r="G76">
            <v>15.64</v>
          </cell>
          <cell r="H76">
            <v>19.55</v>
          </cell>
          <cell r="I76">
            <v>4426.51</v>
          </cell>
          <cell r="J76">
            <v>2.4409988232498721E-3</v>
          </cell>
        </row>
        <row r="77">
          <cell r="A77" t="str">
            <v>12.4</v>
          </cell>
          <cell r="B77" t="str">
            <v xml:space="preserve"> 95875 </v>
          </cell>
          <cell r="C77" t="str">
            <v>SINAPI</v>
          </cell>
          <cell r="D77" t="str">
            <v>TRANSPORTE COM CAMINHÃO BASCULANTE DE 10 M³, EM VIA URBANA PAVIMENTADA, DMT ATÉ 10 KM (UNIDADE: M3XKM). (BOTA FORA)</v>
          </cell>
          <cell r="E77" t="str">
            <v>M3XKM</v>
          </cell>
          <cell r="F77">
            <v>2946.3452386930571</v>
          </cell>
          <cell r="G77">
            <v>2.59</v>
          </cell>
          <cell r="H77">
            <v>3.24</v>
          </cell>
          <cell r="I77">
            <v>9546.16</v>
          </cell>
          <cell r="J77">
            <v>5.2642296812963254E-3</v>
          </cell>
        </row>
        <row r="78">
          <cell r="A78" t="str">
            <v>12.5</v>
          </cell>
          <cell r="B78">
            <v>101124</v>
          </cell>
          <cell r="C78" t="str">
            <v>SINAPI</v>
          </cell>
          <cell r="D78" t="str">
            <v xml:space="preserve">ESCAVAÇÃO HORIZONTAL, INCLUINDO CARGA E DESCARGA DE SOLO DE 1º CATEGORIA PARA REATERRO DO LOCAL DA TUBULAÇÃO REMOVIDA. </v>
          </cell>
          <cell r="E78" t="str">
            <v>m³</v>
          </cell>
          <cell r="F78">
            <v>95.26</v>
          </cell>
          <cell r="G78">
            <v>15.64</v>
          </cell>
          <cell r="H78">
            <v>19.55</v>
          </cell>
          <cell r="I78">
            <v>1862.33</v>
          </cell>
          <cell r="J78">
            <v>1.0269818295910171E-3</v>
          </cell>
        </row>
        <row r="79">
          <cell r="A79" t="str">
            <v>12.6</v>
          </cell>
          <cell r="B79" t="str">
            <v xml:space="preserve"> 95875 </v>
          </cell>
          <cell r="C79" t="str">
            <v>SINAPI</v>
          </cell>
          <cell r="D79" t="str">
            <v>TRANSPORTE COM CAMINHÃO BASCULANTE DE 10 M³, EM VIA URBANA PAVIMENTADA, DMT ATÉ 10 KM (UNIDADE: M3XKM). (SOLO DE 1º CATEGORIA PARA REATERRO DE VALA)</v>
          </cell>
          <cell r="E79" t="str">
            <v>M3XKM</v>
          </cell>
          <cell r="F79">
            <v>1238.3800000000001</v>
          </cell>
          <cell r="G79">
            <v>2.59</v>
          </cell>
          <cell r="H79">
            <v>3.24</v>
          </cell>
          <cell r="I79">
            <v>4012.35</v>
          </cell>
          <cell r="J79">
            <v>2.2126103021266469E-3</v>
          </cell>
        </row>
        <row r="80">
          <cell r="A80" t="str">
            <v>12.7</v>
          </cell>
          <cell r="B80">
            <v>104740</v>
          </cell>
          <cell r="C80" t="str">
            <v>SINAPI</v>
          </cell>
          <cell r="D80" t="str">
            <v>REATERRO MECANIZADO DE VALA COM MINIRETROESCAVADEIRA, COM COMPACTADOR DE SOLOS DE PERCUSSÃO</v>
          </cell>
          <cell r="E80" t="str">
            <v>m³</v>
          </cell>
          <cell r="F80">
            <v>95.26</v>
          </cell>
          <cell r="G80">
            <v>28.51</v>
          </cell>
          <cell r="H80">
            <v>35.64</v>
          </cell>
          <cell r="I80">
            <v>3395.07</v>
          </cell>
          <cell r="J80">
            <v>1.8722112623378109E-3</v>
          </cell>
        </row>
        <row r="81">
          <cell r="A81" t="str">
            <v>12.8</v>
          </cell>
          <cell r="B81" t="str">
            <v>Ref. 
103096</v>
          </cell>
          <cell r="C81" t="str">
            <v>SINAPI</v>
          </cell>
          <cell r="D81" t="str">
            <v>REMOÇÃO DE TUBO DE FERRO FUNDIDO DN 400 MM EXISTENTE (TRAVESSIA AÉREA SOBRE CURSO D´ÁGUA)</v>
          </cell>
          <cell r="E81" t="str">
            <v>M</v>
          </cell>
          <cell r="F81">
            <v>22.96</v>
          </cell>
          <cell r="G81">
            <v>73.290000000000006</v>
          </cell>
          <cell r="H81">
            <v>91.61</v>
          </cell>
          <cell r="I81">
            <v>2103.37</v>
          </cell>
          <cell r="J81">
            <v>1.1599033312607637E-3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COMPOSIÇÕES"/>
      <sheetName val="COTAÇÕES"/>
      <sheetName val="BDI"/>
      <sheetName val="PLAN-Filtro_02_ETA-R01"/>
    </sheetNames>
    <definedNames>
      <definedName name="Clique1_BDI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54"/>
  <sheetViews>
    <sheetView topLeftCell="A28" workbookViewId="0">
      <selection activeCell="A17" sqref="A17"/>
    </sheetView>
  </sheetViews>
  <sheetFormatPr defaultRowHeight="12.75" x14ac:dyDescent="0.2"/>
  <cols>
    <col min="1" max="1" width="105.28515625" bestFit="1" customWidth="1"/>
    <col min="2" max="2" width="9.42578125" bestFit="1" customWidth="1"/>
    <col min="3" max="3" width="7.28515625" bestFit="1" customWidth="1"/>
    <col min="4" max="5" width="13.28515625" bestFit="1" customWidth="1"/>
  </cols>
  <sheetData>
    <row r="1" spans="1:5" ht="23.25" x14ac:dyDescent="0.35">
      <c r="A1" s="223" t="s">
        <v>22</v>
      </c>
      <c r="B1" s="224"/>
      <c r="C1" s="224"/>
      <c r="D1" s="224"/>
    </row>
    <row r="2" spans="1:5" x14ac:dyDescent="0.2">
      <c r="A2" s="11" t="s">
        <v>24</v>
      </c>
      <c r="B2" s="222"/>
      <c r="C2" s="222"/>
      <c r="D2" s="222"/>
      <c r="E2" s="1"/>
    </row>
    <row r="3" spans="1:5" x14ac:dyDescent="0.2">
      <c r="A3" s="11" t="s">
        <v>25</v>
      </c>
      <c r="B3" s="25" t="s">
        <v>23</v>
      </c>
      <c r="C3" s="25" t="s">
        <v>18</v>
      </c>
      <c r="D3" s="25" t="s">
        <v>31</v>
      </c>
      <c r="E3" s="1"/>
    </row>
    <row r="4" spans="1:5" x14ac:dyDescent="0.2">
      <c r="A4" s="12" t="s">
        <v>26</v>
      </c>
      <c r="B4" s="222">
        <v>0.2034</v>
      </c>
      <c r="C4" s="222">
        <v>0.22120000000000001</v>
      </c>
      <c r="D4" s="222">
        <v>0.25</v>
      </c>
      <c r="E4" s="1"/>
    </row>
    <row r="5" spans="1:5" x14ac:dyDescent="0.2">
      <c r="A5" s="12" t="s">
        <v>27</v>
      </c>
      <c r="B5" s="222">
        <v>0.19600000000000001</v>
      </c>
      <c r="C5" s="222">
        <v>0.2097</v>
      </c>
      <c r="D5" s="222">
        <v>0.24229999999999999</v>
      </c>
      <c r="E5" s="1"/>
    </row>
    <row r="6" spans="1:5" x14ac:dyDescent="0.2">
      <c r="A6" s="12" t="s">
        <v>28</v>
      </c>
      <c r="B6" s="222">
        <v>0.20760000000000001</v>
      </c>
      <c r="C6" s="222">
        <v>0.24179999999999999</v>
      </c>
      <c r="D6" s="222">
        <v>0.26440000000000002</v>
      </c>
      <c r="E6" s="1"/>
    </row>
    <row r="7" spans="1:5" x14ac:dyDescent="0.2">
      <c r="A7" s="12" t="s">
        <v>30</v>
      </c>
      <c r="B7" s="222">
        <v>0.22800000000000001</v>
      </c>
      <c r="C7" s="222">
        <v>0.27479999999999999</v>
      </c>
      <c r="D7" s="222">
        <v>0.3095</v>
      </c>
      <c r="E7" s="1"/>
    </row>
    <row r="8" spans="1:5" x14ac:dyDescent="0.2">
      <c r="A8" s="12"/>
      <c r="B8" s="222"/>
      <c r="C8" s="222"/>
      <c r="D8" s="222"/>
      <c r="E8" s="12"/>
    </row>
    <row r="9" spans="1:5" x14ac:dyDescent="0.2">
      <c r="A9" s="12" t="s">
        <v>32</v>
      </c>
      <c r="B9" s="222">
        <v>0.111</v>
      </c>
      <c r="C9" s="222">
        <v>0.14019999999999999</v>
      </c>
      <c r="D9" s="222">
        <v>0.16800000000000001</v>
      </c>
      <c r="E9" s="12"/>
    </row>
    <row r="10" spans="1:5" x14ac:dyDescent="0.2">
      <c r="A10" s="12"/>
      <c r="B10" s="277"/>
      <c r="C10" s="277"/>
      <c r="D10" s="222"/>
      <c r="E10" s="12"/>
    </row>
    <row r="11" spans="1:5" x14ac:dyDescent="0.2">
      <c r="A11" s="12"/>
      <c r="B11" s="277"/>
      <c r="C11" s="277"/>
      <c r="D11" s="222"/>
      <c r="E11" s="12"/>
    </row>
    <row r="12" spans="1:5" x14ac:dyDescent="0.2">
      <c r="A12" s="11" t="s">
        <v>19</v>
      </c>
      <c r="B12" s="25" t="s">
        <v>23</v>
      </c>
      <c r="C12" s="25" t="s">
        <v>18</v>
      </c>
      <c r="D12" s="25" t="s">
        <v>31</v>
      </c>
      <c r="E12" s="12"/>
    </row>
    <row r="13" spans="1:5" x14ac:dyDescent="0.2">
      <c r="A13" s="12" t="s">
        <v>26</v>
      </c>
      <c r="B13" s="222">
        <v>0.03</v>
      </c>
      <c r="C13" s="222">
        <v>0.04</v>
      </c>
      <c r="D13" s="222">
        <v>5.5E-2</v>
      </c>
      <c r="E13" s="12"/>
    </row>
    <row r="14" spans="1:5" x14ac:dyDescent="0.2">
      <c r="A14" s="12" t="s">
        <v>27</v>
      </c>
      <c r="B14" s="222">
        <v>3.7999999999999999E-2</v>
      </c>
      <c r="C14" s="222">
        <v>4.0099999999999997E-2</v>
      </c>
      <c r="D14" s="222">
        <v>4.6699999999999998E-2</v>
      </c>
      <c r="E14" s="12"/>
    </row>
    <row r="15" spans="1:5" x14ac:dyDescent="0.2">
      <c r="A15" s="12" t="s">
        <v>28</v>
      </c>
      <c r="B15" s="222">
        <v>3.4299999999999997E-2</v>
      </c>
      <c r="C15" s="222">
        <v>4.9299999999999997E-2</v>
      </c>
      <c r="D15" s="222">
        <v>6.7100000000000007E-2</v>
      </c>
      <c r="E15" s="12"/>
    </row>
    <row r="16" spans="1:5" x14ac:dyDescent="0.2">
      <c r="A16" s="12" t="s">
        <v>29</v>
      </c>
      <c r="B16" s="222">
        <v>5.2900000000000003E-2</v>
      </c>
      <c r="C16" s="222">
        <v>5.9200000000000003E-2</v>
      </c>
      <c r="D16" s="222">
        <v>7.9299999999999995E-2</v>
      </c>
      <c r="E16" s="12"/>
    </row>
    <row r="17" spans="1:5" x14ac:dyDescent="0.2">
      <c r="A17" s="12" t="s">
        <v>30</v>
      </c>
      <c r="B17" s="222">
        <v>0.04</v>
      </c>
      <c r="C17" s="222">
        <v>5.5199999999999999E-2</v>
      </c>
      <c r="D17" s="222">
        <v>7.85E-2</v>
      </c>
      <c r="E17" s="12"/>
    </row>
    <row r="18" spans="1:5" x14ac:dyDescent="0.2">
      <c r="A18" s="12" t="s">
        <v>32</v>
      </c>
      <c r="B18" s="222">
        <v>1.4999999999999999E-2</v>
      </c>
      <c r="C18" s="222">
        <v>3.4500000000000003E-2</v>
      </c>
      <c r="D18" s="222">
        <v>4.4900000000000002E-2</v>
      </c>
      <c r="E18" s="12"/>
    </row>
    <row r="19" spans="1:5" x14ac:dyDescent="0.2">
      <c r="A19" s="12"/>
      <c r="B19" s="222"/>
      <c r="C19" s="222"/>
      <c r="D19" s="222"/>
      <c r="E19" s="12"/>
    </row>
    <row r="20" spans="1:5" x14ac:dyDescent="0.2">
      <c r="A20" s="11" t="s">
        <v>33</v>
      </c>
      <c r="B20" s="25" t="s">
        <v>23</v>
      </c>
      <c r="C20" s="25" t="s">
        <v>18</v>
      </c>
      <c r="D20" s="25" t="s">
        <v>31</v>
      </c>
    </row>
    <row r="21" spans="1:5" x14ac:dyDescent="0.2">
      <c r="A21" s="12" t="s">
        <v>26</v>
      </c>
      <c r="B21" s="222">
        <v>8.0000000000000002E-3</v>
      </c>
      <c r="C21" s="222">
        <v>8.0000000000000002E-3</v>
      </c>
      <c r="D21" s="222">
        <v>0.01</v>
      </c>
    </row>
    <row r="22" spans="1:5" x14ac:dyDescent="0.2">
      <c r="A22" s="12" t="s">
        <v>27</v>
      </c>
      <c r="B22" s="222">
        <v>3.2000000000000002E-3</v>
      </c>
      <c r="C22" s="222">
        <v>4.0000000000000001E-3</v>
      </c>
      <c r="D22" s="222">
        <v>7.4000000000000003E-3</v>
      </c>
    </row>
    <row r="23" spans="1:5" x14ac:dyDescent="0.2">
      <c r="A23" s="12" t="s">
        <v>28</v>
      </c>
      <c r="B23" s="222">
        <v>2.8E-3</v>
      </c>
      <c r="C23" s="222">
        <v>4.8999999999999998E-3</v>
      </c>
      <c r="D23" s="222">
        <v>7.4999999999999997E-3</v>
      </c>
      <c r="E23" s="1"/>
    </row>
    <row r="24" spans="1:5" x14ac:dyDescent="0.2">
      <c r="A24" s="12" t="s">
        <v>29</v>
      </c>
      <c r="B24" s="222">
        <v>2.5000000000000001E-3</v>
      </c>
      <c r="C24" s="222">
        <v>5.1000000000000004E-3</v>
      </c>
      <c r="D24" s="222">
        <v>5.5999999999999999E-3</v>
      </c>
      <c r="E24" s="1"/>
    </row>
    <row r="25" spans="1:5" x14ac:dyDescent="0.2">
      <c r="A25" s="12" t="s">
        <v>30</v>
      </c>
      <c r="B25" s="222">
        <v>8.0999999999999996E-3</v>
      </c>
      <c r="C25" s="222">
        <v>1.2200000000000001E-2</v>
      </c>
      <c r="D25" s="222">
        <v>1.9900000000000001E-2</v>
      </c>
      <c r="E25" s="1"/>
    </row>
    <row r="26" spans="1:5" x14ac:dyDescent="0.2">
      <c r="A26" s="12" t="s">
        <v>32</v>
      </c>
      <c r="B26" s="222">
        <v>3.0000000000000001E-3</v>
      </c>
      <c r="C26" s="222">
        <v>4.7999999999999996E-3</v>
      </c>
      <c r="D26" s="222">
        <v>8.2000000000000007E-3</v>
      </c>
      <c r="E26" s="1"/>
    </row>
    <row r="27" spans="1:5" x14ac:dyDescent="0.2">
      <c r="A27" s="1"/>
      <c r="B27" s="222"/>
      <c r="C27" s="222"/>
      <c r="D27" s="222"/>
      <c r="E27" s="1"/>
    </row>
    <row r="28" spans="1:5" x14ac:dyDescent="0.2">
      <c r="A28" s="11" t="s">
        <v>20</v>
      </c>
      <c r="B28" s="25" t="s">
        <v>23</v>
      </c>
      <c r="C28" s="25" t="s">
        <v>18</v>
      </c>
      <c r="D28" s="25" t="s">
        <v>31</v>
      </c>
      <c r="E28" s="1"/>
    </row>
    <row r="29" spans="1:5" x14ac:dyDescent="0.2">
      <c r="A29" s="12" t="s">
        <v>26</v>
      </c>
      <c r="B29" s="222">
        <v>9.7000000000000003E-3</v>
      </c>
      <c r="C29" s="222">
        <v>1.2699999999999999E-2</v>
      </c>
      <c r="D29" s="222">
        <v>1.2699999999999999E-2</v>
      </c>
      <c r="E29" s="1"/>
    </row>
    <row r="30" spans="1:5" x14ac:dyDescent="0.2">
      <c r="A30" s="12" t="s">
        <v>27</v>
      </c>
      <c r="B30" s="222">
        <v>5.0000000000000001E-3</v>
      </c>
      <c r="C30" s="222">
        <v>5.5999999999999999E-3</v>
      </c>
      <c r="D30" s="222">
        <v>9.7000000000000003E-3</v>
      </c>
      <c r="E30" s="1"/>
    </row>
    <row r="31" spans="1:5" x14ac:dyDescent="0.2">
      <c r="A31" s="12" t="s">
        <v>28</v>
      </c>
      <c r="B31" s="222">
        <v>0.01</v>
      </c>
      <c r="C31" s="222">
        <v>1.3899999999999999E-2</v>
      </c>
      <c r="D31" s="222">
        <v>1.7399999999999999E-2</v>
      </c>
      <c r="E31" s="1"/>
    </row>
    <row r="32" spans="1:5" x14ac:dyDescent="0.2">
      <c r="A32" s="12" t="s">
        <v>29</v>
      </c>
      <c r="B32" s="222">
        <v>0.01</v>
      </c>
      <c r="C32" s="222">
        <v>1.4800000000000001E-2</v>
      </c>
      <c r="D32" s="222">
        <v>1.9699999999999999E-2</v>
      </c>
      <c r="E32" s="1"/>
    </row>
    <row r="33" spans="1:5" x14ac:dyDescent="0.2">
      <c r="A33" s="12" t="s">
        <v>30</v>
      </c>
      <c r="B33" s="222">
        <v>1.46E-2</v>
      </c>
      <c r="C33" s="222">
        <v>2.3199999999999998E-2</v>
      </c>
      <c r="D33" s="222">
        <v>3.1600000000000003E-2</v>
      </c>
      <c r="E33" s="1"/>
    </row>
    <row r="34" spans="1:5" x14ac:dyDescent="0.2">
      <c r="A34" s="12" t="s">
        <v>32</v>
      </c>
      <c r="B34" s="222">
        <v>5.5999999999999999E-3</v>
      </c>
      <c r="C34" s="222">
        <v>8.5000000000000006E-3</v>
      </c>
      <c r="D34" s="222">
        <v>8.8999999999999999E-3</v>
      </c>
      <c r="E34" s="1"/>
    </row>
    <row r="35" spans="1:5" x14ac:dyDescent="0.2">
      <c r="A35" s="1"/>
      <c r="B35" s="222"/>
      <c r="C35" s="222"/>
      <c r="D35" s="222"/>
      <c r="E35" s="1"/>
    </row>
    <row r="36" spans="1:5" x14ac:dyDescent="0.2">
      <c r="A36" s="11" t="s">
        <v>34</v>
      </c>
      <c r="B36" s="25" t="s">
        <v>23</v>
      </c>
      <c r="C36" s="25" t="s">
        <v>18</v>
      </c>
      <c r="D36" s="25" t="s">
        <v>31</v>
      </c>
      <c r="E36" s="1"/>
    </row>
    <row r="37" spans="1:5" x14ac:dyDescent="0.2">
      <c r="A37" s="12" t="s">
        <v>26</v>
      </c>
      <c r="B37" s="222">
        <v>5.8999999999999999E-3</v>
      </c>
      <c r="C37" s="222">
        <v>1.23E-2</v>
      </c>
      <c r="D37" s="222">
        <v>1.3899999999999999E-2</v>
      </c>
      <c r="E37" s="1"/>
    </row>
    <row r="38" spans="1:5" x14ac:dyDescent="0.2">
      <c r="A38" s="12" t="s">
        <v>27</v>
      </c>
      <c r="B38" s="222">
        <v>1.0200000000000001E-2</v>
      </c>
      <c r="C38" s="222">
        <v>1.11E-2</v>
      </c>
      <c r="D38" s="222">
        <v>1.21E-2</v>
      </c>
      <c r="E38" s="1"/>
    </row>
    <row r="39" spans="1:5" x14ac:dyDescent="0.2">
      <c r="A39" s="12" t="s">
        <v>28</v>
      </c>
      <c r="B39" s="222">
        <v>9.4000000000000004E-3</v>
      </c>
      <c r="C39" s="222">
        <v>9.9000000000000008E-3</v>
      </c>
      <c r="D39" s="222">
        <v>1.17E-2</v>
      </c>
      <c r="E39" s="1"/>
    </row>
    <row r="40" spans="1:5" x14ac:dyDescent="0.2">
      <c r="A40" s="12" t="s">
        <v>29</v>
      </c>
      <c r="B40" s="222">
        <v>1.01E-2</v>
      </c>
      <c r="C40" s="222">
        <v>1.0699999999999999E-2</v>
      </c>
      <c r="D40" s="222">
        <v>1.11E-2</v>
      </c>
      <c r="E40" s="1"/>
    </row>
    <row r="41" spans="1:5" x14ac:dyDescent="0.2">
      <c r="A41" s="12" t="s">
        <v>30</v>
      </c>
      <c r="B41" s="222">
        <v>9.4000000000000004E-3</v>
      </c>
      <c r="C41" s="222">
        <v>1.0200000000000001E-2</v>
      </c>
      <c r="D41" s="222">
        <v>1.3299999999999999E-2</v>
      </c>
      <c r="E41" s="1"/>
    </row>
    <row r="42" spans="1:5" x14ac:dyDescent="0.2">
      <c r="A42" s="12" t="s">
        <v>32</v>
      </c>
      <c r="B42" s="222">
        <v>8.5000000000000006E-3</v>
      </c>
      <c r="C42" s="222">
        <v>8.5000000000000006E-3</v>
      </c>
      <c r="D42" s="222">
        <v>1.11E-2</v>
      </c>
      <c r="E42" s="1"/>
    </row>
    <row r="43" spans="1:5" x14ac:dyDescent="0.2">
      <c r="A43" s="1"/>
      <c r="B43" s="222"/>
      <c r="C43" s="222"/>
      <c r="D43" s="222"/>
      <c r="E43" s="1"/>
    </row>
    <row r="44" spans="1:5" x14ac:dyDescent="0.2">
      <c r="A44" s="11" t="s">
        <v>21</v>
      </c>
      <c r="B44" s="25" t="s">
        <v>23</v>
      </c>
      <c r="C44" s="25" t="s">
        <v>18</v>
      </c>
      <c r="D44" s="25" t="s">
        <v>31</v>
      </c>
      <c r="E44" s="1"/>
    </row>
    <row r="45" spans="1:5" x14ac:dyDescent="0.2">
      <c r="A45" s="12" t="s">
        <v>26</v>
      </c>
      <c r="B45" s="222">
        <v>6.1600000000000002E-2</v>
      </c>
      <c r="C45" s="222">
        <v>7.3999999999999996E-2</v>
      </c>
      <c r="D45" s="222">
        <v>8.9599999999999999E-2</v>
      </c>
      <c r="E45" s="1"/>
    </row>
    <row r="46" spans="1:5" x14ac:dyDescent="0.2">
      <c r="A46" s="12" t="s">
        <v>27</v>
      </c>
      <c r="B46" s="222">
        <v>6.6400000000000001E-2</v>
      </c>
      <c r="C46" s="222">
        <v>7.2999999999999995E-2</v>
      </c>
      <c r="D46" s="222">
        <v>8.6900000000000005E-2</v>
      </c>
      <c r="E46" s="1"/>
    </row>
    <row r="47" spans="1:5" x14ac:dyDescent="0.2">
      <c r="A47" s="12" t="s">
        <v>28</v>
      </c>
      <c r="B47" s="222">
        <v>6.7400000000000002E-2</v>
      </c>
      <c r="C47" s="222">
        <v>8.0399999999999999E-2</v>
      </c>
      <c r="D47" s="222">
        <v>9.4E-2</v>
      </c>
      <c r="E47" s="1"/>
    </row>
    <row r="48" spans="1:5" x14ac:dyDescent="0.2">
      <c r="A48" s="12" t="s">
        <v>29</v>
      </c>
      <c r="B48" s="222">
        <v>0.08</v>
      </c>
      <c r="C48" s="222">
        <v>8.3099999999999993E-2</v>
      </c>
      <c r="D48" s="222">
        <v>9.5100000000000004E-2</v>
      </c>
      <c r="E48" s="1"/>
    </row>
    <row r="49" spans="1:5" x14ac:dyDescent="0.2">
      <c r="A49" s="12" t="s">
        <v>30</v>
      </c>
      <c r="B49" s="222">
        <v>7.1400000000000005E-2</v>
      </c>
      <c r="C49" s="222">
        <v>8.4000000000000005E-2</v>
      </c>
      <c r="D49" s="222">
        <v>0.1043</v>
      </c>
      <c r="E49" s="1"/>
    </row>
    <row r="50" spans="1:5" x14ac:dyDescent="0.2">
      <c r="A50" s="12" t="s">
        <v>32</v>
      </c>
      <c r="B50" s="222">
        <v>3.5000000000000003E-2</v>
      </c>
      <c r="C50" s="222">
        <v>5.11E-2</v>
      </c>
      <c r="D50" s="222">
        <v>6.2199999999999998E-2</v>
      </c>
      <c r="E50" s="1"/>
    </row>
    <row r="52" spans="1:5" x14ac:dyDescent="0.2">
      <c r="D52" s="36" t="b">
        <v>1</v>
      </c>
    </row>
    <row r="53" spans="1:5" x14ac:dyDescent="0.2">
      <c r="D53" s="37" t="b">
        <v>0</v>
      </c>
    </row>
    <row r="54" spans="1:5" x14ac:dyDescent="0.2">
      <c r="D54" s="38" t="e">
        <f>IF(AND(D52=TRUE,D53=FALSE),#REF!,IF(AND(D52=FALSE,D53=TRUE),#REF!,"ERRO"))</f>
        <v>#REF!</v>
      </c>
    </row>
  </sheetData>
  <mergeCells count="2"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view="pageBreakPreview" zoomScaleNormal="100" zoomScaleSheetLayoutView="100" workbookViewId="0">
      <selection activeCell="A5" sqref="A5:K5"/>
    </sheetView>
  </sheetViews>
  <sheetFormatPr defaultRowHeight="12.75" x14ac:dyDescent="0.2"/>
  <cols>
    <col min="1" max="1" width="7.42578125" customWidth="1"/>
    <col min="2" max="2" width="10.42578125" customWidth="1"/>
    <col min="3" max="3" width="10.28515625" bestFit="1" customWidth="1"/>
    <col min="4" max="4" width="51.140625" bestFit="1" customWidth="1"/>
    <col min="5" max="5" width="7.85546875" customWidth="1"/>
    <col min="6" max="6" width="11.28515625" bestFit="1" customWidth="1"/>
    <col min="7" max="7" width="12.85546875" bestFit="1" customWidth="1"/>
    <col min="8" max="8" width="9.7109375" customWidth="1"/>
    <col min="9" max="9" width="14" bestFit="1" customWidth="1"/>
    <col min="10" max="10" width="19.5703125" bestFit="1" customWidth="1"/>
    <col min="11" max="11" width="10.5703125" customWidth="1"/>
    <col min="12" max="12" width="2.140625" customWidth="1"/>
    <col min="13" max="13" width="13.28515625" style="1" bestFit="1" customWidth="1"/>
    <col min="14" max="14" width="18.140625" style="98" customWidth="1"/>
    <col min="15" max="16384" width="9.140625" style="70"/>
  </cols>
  <sheetData>
    <row r="1" spans="1:14" s="435" customFormat="1" ht="120" customHeight="1" thickBot="1" x14ac:dyDescent="0.35">
      <c r="A1" s="429"/>
      <c r="B1" s="429"/>
      <c r="C1" s="430" t="s">
        <v>88</v>
      </c>
      <c r="D1" s="431"/>
      <c r="E1" s="431"/>
      <c r="F1" s="431"/>
      <c r="G1" s="431"/>
      <c r="H1" s="431"/>
      <c r="I1" s="431"/>
      <c r="J1" s="431"/>
      <c r="K1" s="431"/>
      <c r="L1" s="432"/>
      <c r="M1" s="433"/>
      <c r="N1" s="434"/>
    </row>
    <row r="2" spans="1:14" s="435" customFormat="1" ht="15" x14ac:dyDescent="0.2">
      <c r="A2" s="436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2"/>
      <c r="M2" s="433"/>
      <c r="N2" s="434"/>
    </row>
    <row r="3" spans="1:14" s="435" customFormat="1" ht="15" x14ac:dyDescent="0.2">
      <c r="A3" s="437" t="s">
        <v>314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2"/>
      <c r="M3" s="433"/>
      <c r="N3" s="434"/>
    </row>
    <row r="4" spans="1:14" s="435" customFormat="1" ht="15" x14ac:dyDescent="0.2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2"/>
      <c r="M4" s="433"/>
      <c r="N4" s="434"/>
    </row>
    <row r="5" spans="1:14" s="435" customFormat="1" ht="15" x14ac:dyDescent="0.2">
      <c r="A5" s="437" t="s">
        <v>89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2"/>
      <c r="M5" s="433"/>
      <c r="N5" s="434"/>
    </row>
    <row r="6" spans="1:14" s="435" customFormat="1" ht="15" x14ac:dyDescent="0.2">
      <c r="A6" s="438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2"/>
      <c r="M6" s="433"/>
      <c r="N6" s="434"/>
    </row>
    <row r="7" spans="1:14" s="435" customFormat="1" ht="15" x14ac:dyDescent="0.2">
      <c r="A7" s="436"/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2"/>
      <c r="M7" s="433"/>
      <c r="N7" s="434"/>
    </row>
    <row r="8" spans="1:14" s="435" customFormat="1" ht="15" customHeight="1" x14ac:dyDescent="0.2">
      <c r="A8" s="439" t="s">
        <v>50</v>
      </c>
      <c r="B8" s="440"/>
      <c r="C8" s="441"/>
      <c r="D8" s="441"/>
      <c r="E8" s="441"/>
      <c r="F8" s="442"/>
      <c r="G8" s="443" t="s">
        <v>37</v>
      </c>
      <c r="H8" s="444" t="s">
        <v>309</v>
      </c>
      <c r="I8" s="444"/>
      <c r="J8" s="444"/>
      <c r="K8" s="445"/>
      <c r="L8" s="432"/>
      <c r="M8" s="433"/>
      <c r="N8" s="434"/>
    </row>
    <row r="9" spans="1:14" s="435" customFormat="1" ht="15" x14ac:dyDescent="0.2">
      <c r="A9" s="446" t="s">
        <v>277</v>
      </c>
      <c r="B9" s="447"/>
      <c r="C9" s="447"/>
      <c r="D9" s="447"/>
      <c r="E9" s="447"/>
      <c r="F9" s="448"/>
      <c r="G9" s="449"/>
      <c r="H9" s="450"/>
      <c r="I9" s="450"/>
      <c r="J9" s="450"/>
      <c r="K9" s="451"/>
      <c r="L9" s="432"/>
      <c r="M9" s="433"/>
      <c r="N9" s="434"/>
    </row>
    <row r="10" spans="1:14" s="435" customFormat="1" ht="7.5" customHeight="1" x14ac:dyDescent="0.2">
      <c r="A10" s="440"/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32"/>
      <c r="M10" s="433"/>
      <c r="N10" s="434"/>
    </row>
    <row r="11" spans="1:14" s="435" customFormat="1" ht="15" customHeight="1" x14ac:dyDescent="0.2">
      <c r="A11" s="439" t="s">
        <v>38</v>
      </c>
      <c r="C11" s="452"/>
      <c r="D11" s="452"/>
      <c r="E11" s="453"/>
      <c r="F11" s="454" t="s">
        <v>39</v>
      </c>
      <c r="G11" s="455" t="s">
        <v>40</v>
      </c>
      <c r="H11" s="456" t="s">
        <v>44</v>
      </c>
      <c r="I11" s="456" t="s">
        <v>41</v>
      </c>
      <c r="J11" s="457" t="s">
        <v>43</v>
      </c>
      <c r="K11" s="457" t="s">
        <v>42</v>
      </c>
      <c r="L11" s="432"/>
      <c r="M11" s="433"/>
      <c r="N11" s="434"/>
    </row>
    <row r="12" spans="1:14" s="435" customFormat="1" ht="29.25" customHeight="1" x14ac:dyDescent="0.2">
      <c r="A12" s="458" t="s">
        <v>292</v>
      </c>
      <c r="B12" s="458"/>
      <c r="C12" s="458"/>
      <c r="D12" s="458"/>
      <c r="E12" s="459"/>
      <c r="F12" s="460">
        <f>'ANEXO II-B - BDI'!D33</f>
        <v>0</v>
      </c>
      <c r="G12" s="461">
        <f>'ANEXO II-B - BDI'!D52</f>
        <v>0</v>
      </c>
      <c r="H12" s="462" t="s">
        <v>45</v>
      </c>
      <c r="I12" s="463" t="s">
        <v>45</v>
      </c>
      <c r="J12" s="464">
        <v>46023</v>
      </c>
      <c r="K12" s="465" t="s">
        <v>35</v>
      </c>
      <c r="L12" s="432"/>
      <c r="M12" s="466"/>
      <c r="N12" s="434"/>
    </row>
    <row r="13" spans="1:14" s="66" customFormat="1" ht="15" customHeight="1" x14ac:dyDescent="0.2">
      <c r="A13" s="30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13"/>
      <c r="M13" s="2"/>
      <c r="N13" s="92"/>
    </row>
    <row r="14" spans="1:14" s="71" customFormat="1" ht="54.95" customHeight="1" x14ac:dyDescent="0.2">
      <c r="A14" s="122" t="s">
        <v>0</v>
      </c>
      <c r="B14" s="122" t="s">
        <v>16</v>
      </c>
      <c r="C14" s="122" t="s">
        <v>1</v>
      </c>
      <c r="D14" s="122" t="s">
        <v>2</v>
      </c>
      <c r="E14" s="122" t="s">
        <v>6</v>
      </c>
      <c r="F14" s="123" t="s">
        <v>3</v>
      </c>
      <c r="G14" s="123" t="s">
        <v>8</v>
      </c>
      <c r="H14" s="123" t="s">
        <v>22</v>
      </c>
      <c r="I14" s="123" t="s">
        <v>9</v>
      </c>
      <c r="J14" s="123" t="s">
        <v>15</v>
      </c>
      <c r="K14" s="124" t="s">
        <v>4</v>
      </c>
      <c r="L14" s="14"/>
      <c r="M14" s="4" t="s">
        <v>10</v>
      </c>
      <c r="N14" s="73">
        <f>J65</f>
        <v>0</v>
      </c>
    </row>
    <row r="15" spans="1:14" s="67" customFormat="1" ht="30" customHeight="1" x14ac:dyDescent="0.2">
      <c r="A15" s="58" t="s">
        <v>7</v>
      </c>
      <c r="B15" s="59"/>
      <c r="C15" s="60"/>
      <c r="D15" s="61" t="s">
        <v>87</v>
      </c>
      <c r="E15" s="62"/>
      <c r="F15" s="63"/>
      <c r="G15" s="63"/>
      <c r="H15" s="63"/>
      <c r="I15" s="63" t="s">
        <v>17</v>
      </c>
      <c r="J15" s="64">
        <f>SUM(J16:J21)</f>
        <v>0</v>
      </c>
      <c r="K15" s="65" t="e">
        <f>J15/$J$65</f>
        <v>#DIV/0!</v>
      </c>
      <c r="L15" s="48"/>
      <c r="M15" s="4"/>
      <c r="N15" s="93"/>
    </row>
    <row r="16" spans="1:14" s="69" customFormat="1" ht="15.75" x14ac:dyDescent="0.2">
      <c r="A16" s="39" t="s">
        <v>47</v>
      </c>
      <c r="B16" s="40" t="s">
        <v>57</v>
      </c>
      <c r="C16" s="41" t="s">
        <v>138</v>
      </c>
      <c r="D16" s="42" t="s">
        <v>137</v>
      </c>
      <c r="E16" s="43" t="s">
        <v>11</v>
      </c>
      <c r="F16" s="23">
        <f>ROUND(M16,2)</f>
        <v>8.5500000000000007</v>
      </c>
      <c r="G16" s="425"/>
      <c r="H16" s="46" t="s">
        <v>39</v>
      </c>
      <c r="I16" s="44">
        <f>TRUNC(G16*(1+HLOOKUP(H16,$F$11:$I$12,2,FALSE)),2)</f>
        <v>0</v>
      </c>
      <c r="J16" s="44">
        <f>TRUNC(F16*I16,2)</f>
        <v>0</v>
      </c>
      <c r="K16" s="47"/>
      <c r="L16" s="15"/>
      <c r="M16" s="3">
        <f>3*2+1.5*1.7</f>
        <v>8.5500000000000007</v>
      </c>
      <c r="N16" s="94"/>
    </row>
    <row r="17" spans="1:14" s="69" customFormat="1" ht="38.25" x14ac:dyDescent="0.2">
      <c r="A17" s="26" t="s">
        <v>92</v>
      </c>
      <c r="B17" s="40" t="s">
        <v>5</v>
      </c>
      <c r="C17" s="41">
        <v>10775</v>
      </c>
      <c r="D17" s="42" t="s">
        <v>55</v>
      </c>
      <c r="E17" s="43" t="s">
        <v>56</v>
      </c>
      <c r="F17" s="44">
        <v>3</v>
      </c>
      <c r="G17" s="426"/>
      <c r="H17" s="46" t="s">
        <v>39</v>
      </c>
      <c r="I17" s="44">
        <f>TRUNC(G17*(1+HLOOKUP(H17,$F$11:$I$12,2,FALSE)),2)</f>
        <v>0</v>
      </c>
      <c r="J17" s="44">
        <f>TRUNC(F17*I17,2)</f>
        <v>0</v>
      </c>
      <c r="K17" s="28"/>
      <c r="L17" s="15"/>
      <c r="M17" s="3">
        <v>8</v>
      </c>
      <c r="N17" s="94"/>
    </row>
    <row r="18" spans="1:14" s="69" customFormat="1" ht="15.75" x14ac:dyDescent="0.2">
      <c r="A18" s="39" t="s">
        <v>93</v>
      </c>
      <c r="B18" s="19" t="s">
        <v>57</v>
      </c>
      <c r="C18" s="20">
        <v>70010003</v>
      </c>
      <c r="D18" s="42" t="s">
        <v>131</v>
      </c>
      <c r="E18" s="22" t="s">
        <v>13</v>
      </c>
      <c r="F18" s="23">
        <f>ROUND(M18,2)</f>
        <v>1876.67</v>
      </c>
      <c r="G18" s="426"/>
      <c r="H18" s="35" t="s">
        <v>39</v>
      </c>
      <c r="I18" s="23">
        <f>TRUNC(G18*(1+HLOOKUP(H18,$F$11:$I$12,2,FALSE)),2)</f>
        <v>0</v>
      </c>
      <c r="J18" s="23">
        <f>TRUNC(F18*I18,2)</f>
        <v>0</v>
      </c>
      <c r="K18" s="28"/>
      <c r="L18" s="15"/>
      <c r="M18" s="3">
        <f>M26+M44</f>
        <v>1876.67</v>
      </c>
      <c r="N18" s="94"/>
    </row>
    <row r="19" spans="1:14" s="69" customFormat="1" ht="38.25" customHeight="1" x14ac:dyDescent="0.2">
      <c r="A19" s="39" t="s">
        <v>225</v>
      </c>
      <c r="B19" s="203" t="s">
        <v>5</v>
      </c>
      <c r="C19" s="202">
        <v>98525</v>
      </c>
      <c r="D19" s="204" t="s">
        <v>278</v>
      </c>
      <c r="E19" s="205" t="s">
        <v>11</v>
      </c>
      <c r="F19" s="45">
        <v>231.9</v>
      </c>
      <c r="G19" s="425"/>
      <c r="H19" s="35" t="s">
        <v>39</v>
      </c>
      <c r="I19" s="23">
        <f t="shared" ref="I19" si="0">TRUNC(G19*(1+HLOOKUP(H19,$F$11:$I$12,2,FALSE)),2)</f>
        <v>0</v>
      </c>
      <c r="J19" s="23">
        <f t="shared" ref="J19" si="1">TRUNC(F19*I19,2)</f>
        <v>0</v>
      </c>
      <c r="K19" s="206"/>
      <c r="L19" s="15"/>
      <c r="M19" s="3">
        <f>M17*6+250</f>
        <v>298</v>
      </c>
      <c r="N19" s="94"/>
    </row>
    <row r="20" spans="1:14" s="69" customFormat="1" ht="38.25" customHeight="1" x14ac:dyDescent="0.2">
      <c r="A20" s="26" t="s">
        <v>283</v>
      </c>
      <c r="B20" s="203" t="s">
        <v>5</v>
      </c>
      <c r="C20" s="202">
        <v>101124</v>
      </c>
      <c r="D20" s="204" t="s">
        <v>279</v>
      </c>
      <c r="E20" s="205" t="s">
        <v>282</v>
      </c>
      <c r="F20" s="45">
        <v>46.38</v>
      </c>
      <c r="G20" s="425"/>
      <c r="H20" s="35" t="s">
        <v>39</v>
      </c>
      <c r="I20" s="23">
        <f t="shared" ref="I20" si="2">TRUNC(G20*(1+HLOOKUP(H20,$F$11:$I$12,2,FALSE)),2)</f>
        <v>0</v>
      </c>
      <c r="J20" s="23">
        <f t="shared" ref="J20" si="3">TRUNC(F20*I20,2)</f>
        <v>0</v>
      </c>
      <c r="K20" s="206"/>
      <c r="L20" s="15"/>
      <c r="M20" s="3">
        <f>M19*0.2</f>
        <v>59.6</v>
      </c>
      <c r="N20" s="94"/>
    </row>
    <row r="21" spans="1:14" s="69" customFormat="1" ht="38.25" customHeight="1" x14ac:dyDescent="0.2">
      <c r="A21" s="39" t="s">
        <v>284</v>
      </c>
      <c r="B21" s="203" t="s">
        <v>5</v>
      </c>
      <c r="C21" s="202">
        <v>95875</v>
      </c>
      <c r="D21" s="204" t="s">
        <v>280</v>
      </c>
      <c r="E21" s="205" t="s">
        <v>281</v>
      </c>
      <c r="F21" s="45">
        <v>602.94000000000005</v>
      </c>
      <c r="G21" s="425"/>
      <c r="H21" s="35" t="s">
        <v>39</v>
      </c>
      <c r="I21" s="23">
        <f t="shared" ref="I21" si="4">TRUNC(G21*(1+HLOOKUP(H21,$F$11:$I$12,2,FALSE)),2)</f>
        <v>0</v>
      </c>
      <c r="J21" s="23">
        <f t="shared" ref="J21" si="5">TRUNC(F21*I21,2)</f>
        <v>0</v>
      </c>
      <c r="K21" s="206"/>
      <c r="L21" s="15"/>
      <c r="M21" s="3">
        <f>M20*1.3*10</f>
        <v>774.80000000000007</v>
      </c>
      <c r="N21" s="94"/>
    </row>
    <row r="22" spans="1:14" s="69" customFormat="1" ht="30" customHeight="1" x14ac:dyDescent="0.2">
      <c r="A22" s="58" t="s">
        <v>12</v>
      </c>
      <c r="B22" s="59"/>
      <c r="C22" s="60"/>
      <c r="D22" s="61" t="s">
        <v>226</v>
      </c>
      <c r="E22" s="62"/>
      <c r="F22" s="63"/>
      <c r="G22" s="427"/>
      <c r="H22" s="63"/>
      <c r="I22" s="63" t="s">
        <v>17</v>
      </c>
      <c r="J22" s="64">
        <f>SUM(J23:J33)</f>
        <v>0</v>
      </c>
      <c r="K22" s="65" t="e">
        <f>J22/$J$65</f>
        <v>#DIV/0!</v>
      </c>
      <c r="L22" s="15"/>
      <c r="M22" s="3"/>
      <c r="N22" s="94"/>
    </row>
    <row r="23" spans="1:14" s="69" customFormat="1" ht="38.25" customHeight="1" x14ac:dyDescent="0.2">
      <c r="A23" s="39" t="s">
        <v>285</v>
      </c>
      <c r="B23" s="203" t="s">
        <v>243</v>
      </c>
      <c r="C23" s="202" t="s">
        <v>270</v>
      </c>
      <c r="D23" s="204" t="str">
        <f>UPPER("Placa para sinalização viária em chapa de aço, totalmente refletiva com película III/III - área até 2,0 m²")</f>
        <v>PLACA PARA SINALIZAÇÃO VIÁRIA EM CHAPA DE AÇO, TOTALMENTE REFLETIVA COM PELÍCULA III/III - ÁREA ATÉ 2,0 M²</v>
      </c>
      <c r="E23" s="205" t="s">
        <v>11</v>
      </c>
      <c r="F23" s="44">
        <v>7.1</v>
      </c>
      <c r="G23" s="425"/>
      <c r="H23" s="35" t="s">
        <v>39</v>
      </c>
      <c r="I23" s="23">
        <f>TRUNC(G23*(1+HLOOKUP(H23,$F$11:$I$12,2,FALSE)),2)</f>
        <v>0</v>
      </c>
      <c r="J23" s="23">
        <f>TRUNC(F23*I23,2)</f>
        <v>0</v>
      </c>
      <c r="K23" s="206"/>
      <c r="L23" s="15"/>
      <c r="M23" s="3">
        <f>2*1*1.5+2*1*1.3+2*1*0.75</f>
        <v>7.1</v>
      </c>
      <c r="N23" s="94"/>
    </row>
    <row r="24" spans="1:14" s="69" customFormat="1" ht="38.25" customHeight="1" x14ac:dyDescent="0.2">
      <c r="A24" s="39" t="s">
        <v>285</v>
      </c>
      <c r="B24" s="203" t="s">
        <v>5</v>
      </c>
      <c r="C24" s="202">
        <v>14439</v>
      </c>
      <c r="D24" s="204" t="s">
        <v>300</v>
      </c>
      <c r="E24" s="205" t="s">
        <v>13</v>
      </c>
      <c r="F24" s="44">
        <f>M24</f>
        <v>48.2</v>
      </c>
      <c r="G24" s="425"/>
      <c r="H24" s="35" t="s">
        <v>39</v>
      </c>
      <c r="I24" s="23">
        <f t="shared" ref="I24" si="6">TRUNC(G24*(1+HLOOKUP(H24,$F$11:$I$12,2,FALSE)),2)</f>
        <v>0</v>
      </c>
      <c r="J24" s="23">
        <f t="shared" ref="J24" si="7">TRUNC(F24*I24,2)</f>
        <v>0</v>
      </c>
      <c r="K24" s="206"/>
      <c r="L24" s="15"/>
      <c r="M24" s="3">
        <f>4*(1.5+1.5+1)+4*(1.5+1.5+1.3)+4*(1.5+1.5+0.75)</f>
        <v>48.2</v>
      </c>
      <c r="N24" s="94"/>
    </row>
    <row r="25" spans="1:14" s="69" customFormat="1" ht="38.25" customHeight="1" x14ac:dyDescent="0.2">
      <c r="A25" s="26" t="s">
        <v>286</v>
      </c>
      <c r="B25" s="203" t="s">
        <v>5</v>
      </c>
      <c r="C25" s="202">
        <v>102656</v>
      </c>
      <c r="D25" s="204" t="s">
        <v>271</v>
      </c>
      <c r="E25" s="205" t="s">
        <v>229</v>
      </c>
      <c r="F25" s="44">
        <v>20</v>
      </c>
      <c r="G25" s="425"/>
      <c r="H25" s="35" t="s">
        <v>39</v>
      </c>
      <c r="I25" s="23">
        <f t="shared" ref="I25" si="8">TRUNC(G25*(1+HLOOKUP(H25,$F$11:$I$12,2,FALSE)),2)</f>
        <v>0</v>
      </c>
      <c r="J25" s="23">
        <f t="shared" ref="J25" si="9">TRUNC(F25*I25,2)</f>
        <v>0</v>
      </c>
      <c r="K25" s="206"/>
      <c r="L25" s="15"/>
      <c r="M25" s="3">
        <v>20</v>
      </c>
      <c r="N25" s="94"/>
    </row>
    <row r="26" spans="1:14" s="69" customFormat="1" ht="38.25" x14ac:dyDescent="0.2">
      <c r="A26" s="26" t="s">
        <v>49</v>
      </c>
      <c r="B26" s="41" t="s">
        <v>57</v>
      </c>
      <c r="C26" s="40" t="s">
        <v>216</v>
      </c>
      <c r="D26" s="42" t="s">
        <v>215</v>
      </c>
      <c r="E26" s="43" t="s">
        <v>13</v>
      </c>
      <c r="F26" s="44">
        <f t="shared" ref="F26:F28" si="10">ROUND(M26,2)</f>
        <v>84.04</v>
      </c>
      <c r="G26" s="425"/>
      <c r="H26" s="35" t="s">
        <v>40</v>
      </c>
      <c r="I26" s="23">
        <f t="shared" ref="I26:I28" si="11">TRUNC(G26*(1+HLOOKUP(H26,$F$11:$I$12,2,FALSE)),2)</f>
        <v>0</v>
      </c>
      <c r="J26" s="23">
        <f t="shared" ref="J26:J28" si="12">TRUNC(F26*I26,2)</f>
        <v>0</v>
      </c>
      <c r="K26" s="28"/>
      <c r="L26" s="15"/>
      <c r="M26" s="9">
        <f>'ANEXO VI-A - Mem. complementar'!B11</f>
        <v>84.04</v>
      </c>
      <c r="N26" s="94"/>
    </row>
    <row r="27" spans="1:14" s="69" customFormat="1" ht="51" x14ac:dyDescent="0.2">
      <c r="A27" s="26" t="s">
        <v>51</v>
      </c>
      <c r="B27" s="41" t="s">
        <v>5</v>
      </c>
      <c r="C27" s="40">
        <v>97147</v>
      </c>
      <c r="D27" s="42" t="s">
        <v>213</v>
      </c>
      <c r="E27" s="43" t="s">
        <v>13</v>
      </c>
      <c r="F27" s="44">
        <f t="shared" si="10"/>
        <v>84.04</v>
      </c>
      <c r="G27" s="425"/>
      <c r="H27" s="35" t="s">
        <v>39</v>
      </c>
      <c r="I27" s="23">
        <f t="shared" si="11"/>
        <v>0</v>
      </c>
      <c r="J27" s="23">
        <f t="shared" si="12"/>
        <v>0</v>
      </c>
      <c r="K27" s="28"/>
      <c r="L27" s="15"/>
      <c r="M27" s="9">
        <f>M26</f>
        <v>84.04</v>
      </c>
      <c r="N27" s="94"/>
    </row>
    <row r="28" spans="1:14" s="69" customFormat="1" ht="38.25" x14ac:dyDescent="0.2">
      <c r="A28" s="26" t="s">
        <v>54</v>
      </c>
      <c r="B28" s="41" t="s">
        <v>5</v>
      </c>
      <c r="C28" s="40">
        <v>90729</v>
      </c>
      <c r="D28" s="42" t="s">
        <v>214</v>
      </c>
      <c r="E28" s="43" t="s">
        <v>36</v>
      </c>
      <c r="F28" s="44">
        <f t="shared" si="10"/>
        <v>2</v>
      </c>
      <c r="G28" s="425"/>
      <c r="H28" s="35" t="s">
        <v>39</v>
      </c>
      <c r="I28" s="23">
        <f t="shared" si="11"/>
        <v>0</v>
      </c>
      <c r="J28" s="23">
        <f t="shared" si="12"/>
        <v>0</v>
      </c>
      <c r="K28" s="28"/>
      <c r="L28" s="15"/>
      <c r="M28" s="9">
        <v>2</v>
      </c>
      <c r="N28" s="94"/>
    </row>
    <row r="29" spans="1:14" s="69" customFormat="1" ht="27" customHeight="1" x14ac:dyDescent="0.2">
      <c r="A29" s="26" t="s">
        <v>246</v>
      </c>
      <c r="B29" s="41" t="s">
        <v>243</v>
      </c>
      <c r="C29" s="40" t="s">
        <v>241</v>
      </c>
      <c r="D29" s="42" t="str">
        <f>UPPER("Fornecimento e montagem de estrutura em aço ASTM-A36, sem pintura")</f>
        <v>FORNECIMENTO E MONTAGEM DE ESTRUTURA EM AÇO ASTM-A36, SEM PINTURA</v>
      </c>
      <c r="E29" s="43" t="s">
        <v>242</v>
      </c>
      <c r="F29" s="44">
        <v>193</v>
      </c>
      <c r="G29" s="425"/>
      <c r="H29" s="35" t="s">
        <v>39</v>
      </c>
      <c r="I29" s="23">
        <f>TRUNC(G29*(1+HLOOKUP(H29,$F$11:$I$12,2,FALSE)),2)</f>
        <v>0</v>
      </c>
      <c r="J29" s="23">
        <f>TRUNC(F29*I29,2)</f>
        <v>0</v>
      </c>
      <c r="K29" s="28"/>
      <c r="L29" s="15"/>
      <c r="M29" s="9" t="s">
        <v>248</v>
      </c>
      <c r="N29" s="94"/>
    </row>
    <row r="30" spans="1:14" s="69" customFormat="1" ht="51" x14ac:dyDescent="0.2">
      <c r="A30" s="26" t="s">
        <v>247</v>
      </c>
      <c r="B30" s="41" t="s">
        <v>5</v>
      </c>
      <c r="C30" s="40">
        <v>100722</v>
      </c>
      <c r="D30" s="42" t="s">
        <v>244</v>
      </c>
      <c r="E30" s="43" t="s">
        <v>245</v>
      </c>
      <c r="F30" s="44">
        <v>6.33</v>
      </c>
      <c r="G30" s="425"/>
      <c r="H30" s="35" t="s">
        <v>39</v>
      </c>
      <c r="I30" s="23">
        <f>TRUNC(G30*(1+HLOOKUP(H30,$F$11:$I$12,2,FALSE)),2)</f>
        <v>0</v>
      </c>
      <c r="J30" s="23">
        <f>TRUNC(F30*I30,2)</f>
        <v>0</v>
      </c>
      <c r="K30" s="28"/>
      <c r="L30" s="15"/>
      <c r="M30" s="9" t="s">
        <v>248</v>
      </c>
      <c r="N30" s="94"/>
    </row>
    <row r="31" spans="1:14" s="69" customFormat="1" ht="55.5" customHeight="1" x14ac:dyDescent="0.2">
      <c r="A31" s="26" t="s">
        <v>266</v>
      </c>
      <c r="B31" s="41" t="s">
        <v>5</v>
      </c>
      <c r="C31" s="40">
        <v>100736</v>
      </c>
      <c r="D31" s="42" t="s">
        <v>249</v>
      </c>
      <c r="E31" s="43" t="s">
        <v>245</v>
      </c>
      <c r="F31" s="44">
        <v>6.33</v>
      </c>
      <c r="G31" s="425"/>
      <c r="H31" s="35" t="s">
        <v>39</v>
      </c>
      <c r="I31" s="23">
        <f>TRUNC(G31*(1+HLOOKUP(H31,$F$11:$I$12,2,FALSE)),2)</f>
        <v>0</v>
      </c>
      <c r="J31" s="23">
        <f>TRUNC(F31*I31,2)</f>
        <v>0</v>
      </c>
      <c r="K31" s="28"/>
      <c r="L31" s="15"/>
      <c r="M31" s="9" t="s">
        <v>248</v>
      </c>
      <c r="N31" s="94"/>
    </row>
    <row r="32" spans="1:14" s="69" customFormat="1" ht="33.75" customHeight="1" x14ac:dyDescent="0.2">
      <c r="A32" s="26" t="s">
        <v>267</v>
      </c>
      <c r="B32" s="41" t="s">
        <v>251</v>
      </c>
      <c r="C32" s="40" t="s">
        <v>253</v>
      </c>
      <c r="D32" s="42" t="s">
        <v>254</v>
      </c>
      <c r="E32" s="43" t="s">
        <v>36</v>
      </c>
      <c r="F32" s="44">
        <v>40</v>
      </c>
      <c r="G32" s="425"/>
      <c r="H32" s="35" t="s">
        <v>39</v>
      </c>
      <c r="I32" s="23">
        <f>TRUNC(G32*(1+HLOOKUP(H32,$F$11:$I$12,2,FALSE)),2)</f>
        <v>0</v>
      </c>
      <c r="J32" s="23">
        <f>TRUNC(F32*I32,2)</f>
        <v>0</v>
      </c>
      <c r="K32" s="28"/>
      <c r="L32" s="15"/>
      <c r="M32" s="9" t="s">
        <v>248</v>
      </c>
      <c r="N32" s="94"/>
    </row>
    <row r="33" spans="1:14" s="69" customFormat="1" ht="36.75" customHeight="1" x14ac:dyDescent="0.2">
      <c r="A33" s="26" t="s">
        <v>268</v>
      </c>
      <c r="B33" s="41" t="s">
        <v>251</v>
      </c>
      <c r="C33" s="40" t="s">
        <v>250</v>
      </c>
      <c r="D33" s="42" t="s">
        <v>252</v>
      </c>
      <c r="E33" s="43" t="s">
        <v>36</v>
      </c>
      <c r="F33" s="44">
        <v>20</v>
      </c>
      <c r="G33" s="425"/>
      <c r="H33" s="35" t="s">
        <v>39</v>
      </c>
      <c r="I33" s="23">
        <f>TRUNC(G33*(1+HLOOKUP(H33,$F$11:$I$12,2,FALSE)),2)</f>
        <v>0</v>
      </c>
      <c r="J33" s="23">
        <f>TRUNC(F33*I33,2)</f>
        <v>0</v>
      </c>
      <c r="K33" s="28"/>
      <c r="L33" s="15"/>
      <c r="M33" s="9" t="s">
        <v>248</v>
      </c>
      <c r="N33" s="94"/>
    </row>
    <row r="34" spans="1:14" s="69" customFormat="1" ht="30" customHeight="1" x14ac:dyDescent="0.2">
      <c r="A34" s="58" t="s">
        <v>52</v>
      </c>
      <c r="B34" s="59"/>
      <c r="C34" s="60"/>
      <c r="D34" s="61" t="s">
        <v>287</v>
      </c>
      <c r="E34" s="62"/>
      <c r="F34" s="63"/>
      <c r="G34" s="427"/>
      <c r="H34" s="63"/>
      <c r="I34" s="63" t="s">
        <v>17</v>
      </c>
      <c r="J34" s="64">
        <f>SUM(J35:J59)/2</f>
        <v>0</v>
      </c>
      <c r="K34" s="65" t="e">
        <f>J34/$J$65</f>
        <v>#DIV/0!</v>
      </c>
      <c r="L34" s="15"/>
      <c r="M34" s="3"/>
      <c r="N34" s="94"/>
    </row>
    <row r="35" spans="1:14" s="69" customFormat="1" ht="15.75" x14ac:dyDescent="0.2">
      <c r="A35" s="84" t="s">
        <v>58</v>
      </c>
      <c r="B35" s="85"/>
      <c r="C35" s="86"/>
      <c r="D35" s="87" t="s">
        <v>115</v>
      </c>
      <c r="E35" s="88"/>
      <c r="F35" s="89"/>
      <c r="G35" s="428"/>
      <c r="H35" s="90"/>
      <c r="I35" s="89"/>
      <c r="J35" s="89">
        <f>SUM(J36:J38)</f>
        <v>0</v>
      </c>
      <c r="K35" s="126" t="e">
        <f>J35/$J$65</f>
        <v>#DIV/0!</v>
      </c>
      <c r="L35" s="79"/>
      <c r="M35" s="78"/>
      <c r="N35" s="94"/>
    </row>
    <row r="36" spans="1:14" s="69" customFormat="1" ht="63.75" x14ac:dyDescent="0.2">
      <c r="A36" s="91" t="s">
        <v>122</v>
      </c>
      <c r="B36" s="19" t="s">
        <v>5</v>
      </c>
      <c r="C36" s="20">
        <v>90106</v>
      </c>
      <c r="D36" s="21" t="s">
        <v>120</v>
      </c>
      <c r="E36" s="22" t="s">
        <v>14</v>
      </c>
      <c r="F36" s="23">
        <f t="shared" ref="F36" si="13">ROUND(M36,2)</f>
        <v>56.37</v>
      </c>
      <c r="G36" s="426"/>
      <c r="H36" s="46" t="s">
        <v>39</v>
      </c>
      <c r="I36" s="23">
        <f t="shared" ref="I36" si="14">TRUNC(G36*(1+HLOOKUP(H36,$F$11:$I$12,2,FALSE)),2)</f>
        <v>0</v>
      </c>
      <c r="J36" s="23">
        <f t="shared" ref="J36" si="15">TRUNC(F36*I36,2)</f>
        <v>0</v>
      </c>
      <c r="K36" s="54"/>
      <c r="L36" s="79"/>
      <c r="M36" s="78">
        <f>'ANEXO VI-A - Mem. complementar'!Z59</f>
        <v>56.366160000000221</v>
      </c>
      <c r="N36" s="94"/>
    </row>
    <row r="37" spans="1:14" s="69" customFormat="1" ht="76.5" x14ac:dyDescent="0.2">
      <c r="A37" s="91" t="s">
        <v>123</v>
      </c>
      <c r="B37" s="19" t="s">
        <v>5</v>
      </c>
      <c r="C37" s="74">
        <v>90108</v>
      </c>
      <c r="D37" s="75" t="s">
        <v>121</v>
      </c>
      <c r="E37" s="76" t="s">
        <v>14</v>
      </c>
      <c r="F37" s="24">
        <f>ROUND(M37,2)</f>
        <v>3177.51</v>
      </c>
      <c r="G37" s="426"/>
      <c r="H37" s="46" t="s">
        <v>39</v>
      </c>
      <c r="I37" s="24">
        <f>TRUNC(G37*(1+HLOOKUP(H37,$F$11:$I$12,2,FALSE)),2)</f>
        <v>0</v>
      </c>
      <c r="J37" s="24">
        <f>TRUNC(F37*I37,2)</f>
        <v>0</v>
      </c>
      <c r="K37" s="54"/>
      <c r="L37" s="79"/>
      <c r="M37" s="78">
        <f>'ANEXO VI-A - Mem. complementar'!AA59</f>
        <v>3177.5064000000079</v>
      </c>
      <c r="N37" s="94"/>
    </row>
    <row r="38" spans="1:14" s="69" customFormat="1" ht="27" customHeight="1" x14ac:dyDescent="0.2">
      <c r="A38" s="197" t="s">
        <v>222</v>
      </c>
      <c r="B38" s="198" t="s">
        <v>243</v>
      </c>
      <c r="C38" s="199" t="s">
        <v>255</v>
      </c>
      <c r="D38" s="200" t="str">
        <f>UPPER("Escoramento com estacas pranchas metálicas - profundidade até 4 m")</f>
        <v>ESCORAMENTO COM ESTACAS PRANCHAS METÁLICAS - PROFUNDIDADE ATÉ 4 M</v>
      </c>
      <c r="E38" s="201" t="s">
        <v>11</v>
      </c>
      <c r="F38" s="24">
        <f>ROUND(M38,2)</f>
        <v>435.38</v>
      </c>
      <c r="G38" s="426"/>
      <c r="H38" s="46" t="s">
        <v>39</v>
      </c>
      <c r="I38" s="24">
        <f>TRUNC(G38*(1+HLOOKUP(H38,$F$11:$I$12,2,FALSE)),2)</f>
        <v>0</v>
      </c>
      <c r="J38" s="24">
        <f>TRUNC(F38*I38,2)</f>
        <v>0</v>
      </c>
      <c r="K38" s="54"/>
      <c r="L38" s="79"/>
      <c r="M38" s="78">
        <f>'ANEXO VI-A - Mem. complementar'!AD59/15</f>
        <v>435.37800000000124</v>
      </c>
      <c r="N38" s="94"/>
    </row>
    <row r="39" spans="1:14" s="69" customFormat="1" ht="15.75" x14ac:dyDescent="0.2">
      <c r="A39" s="84" t="s">
        <v>117</v>
      </c>
      <c r="B39" s="85"/>
      <c r="C39" s="86"/>
      <c r="D39" s="87" t="s">
        <v>236</v>
      </c>
      <c r="E39" s="88"/>
      <c r="F39" s="89"/>
      <c r="G39" s="428"/>
      <c r="H39" s="90"/>
      <c r="I39" s="89"/>
      <c r="J39" s="89">
        <f>SUM(J40:J42)</f>
        <v>0</v>
      </c>
      <c r="K39" s="126" t="e">
        <f>J39/$J$65</f>
        <v>#DIV/0!</v>
      </c>
      <c r="L39" s="79"/>
      <c r="M39" s="78"/>
      <c r="N39" s="94"/>
    </row>
    <row r="40" spans="1:14" s="69" customFormat="1" ht="15.75" x14ac:dyDescent="0.2">
      <c r="A40" s="91" t="s">
        <v>124</v>
      </c>
      <c r="B40" s="19" t="s">
        <v>243</v>
      </c>
      <c r="C40" s="74" t="s">
        <v>256</v>
      </c>
      <c r="D40" s="75" t="str">
        <f>UPPER("Lastro e/ou fundação em rachão mecanizado")</f>
        <v>LASTRO E/OU FUNDAÇÃO EM RACHÃO MECANIZADO</v>
      </c>
      <c r="E40" s="76" t="s">
        <v>14</v>
      </c>
      <c r="F40" s="24">
        <f t="shared" ref="F40:F41" si="16">ROUND(M40,2)</f>
        <v>322.67</v>
      </c>
      <c r="G40" s="426"/>
      <c r="H40" s="46" t="s">
        <v>39</v>
      </c>
      <c r="I40" s="24">
        <f t="shared" ref="I40:I41" si="17">TRUNC(G40*(1+HLOOKUP(H40,$F$11:$I$12,2,FALSE)),2)</f>
        <v>0</v>
      </c>
      <c r="J40" s="24">
        <f t="shared" ref="J40:J41" si="18">TRUNC(F40*I40,2)</f>
        <v>0</v>
      </c>
      <c r="K40" s="54"/>
      <c r="L40" s="79"/>
      <c r="M40" s="78">
        <f>'ANEXO VI-A - Mem. complementar'!AI59</f>
        <v>322.6733999999999</v>
      </c>
      <c r="N40" s="94"/>
    </row>
    <row r="41" spans="1:14" s="69" customFormat="1" ht="41.25" customHeight="1" x14ac:dyDescent="0.2">
      <c r="A41" s="91" t="s">
        <v>240</v>
      </c>
      <c r="B41" s="19" t="s">
        <v>5</v>
      </c>
      <c r="C41" s="74">
        <v>101623</v>
      </c>
      <c r="D41" s="75" t="s">
        <v>257</v>
      </c>
      <c r="E41" s="76" t="s">
        <v>14</v>
      </c>
      <c r="F41" s="24">
        <f t="shared" si="16"/>
        <v>107.56</v>
      </c>
      <c r="G41" s="426"/>
      <c r="H41" s="46" t="s">
        <v>39</v>
      </c>
      <c r="I41" s="24">
        <f t="shared" si="17"/>
        <v>0</v>
      </c>
      <c r="J41" s="24">
        <f t="shared" si="18"/>
        <v>0</v>
      </c>
      <c r="K41" s="54"/>
      <c r="L41" s="79"/>
      <c r="M41" s="78">
        <f>'ANEXO VI-A - Mem. complementar'!AH59</f>
        <v>107.55780000000003</v>
      </c>
      <c r="N41" s="94"/>
    </row>
    <row r="42" spans="1:14" s="69" customFormat="1" ht="41.25" customHeight="1" x14ac:dyDescent="0.2">
      <c r="A42" s="91" t="s">
        <v>240</v>
      </c>
      <c r="B42" s="19" t="s">
        <v>5</v>
      </c>
      <c r="C42" s="74">
        <v>95875</v>
      </c>
      <c r="D42" s="75" t="s">
        <v>288</v>
      </c>
      <c r="E42" s="205" t="s">
        <v>281</v>
      </c>
      <c r="F42" s="24">
        <f t="shared" ref="F42" si="19">ROUND(M42,2)</f>
        <v>12906.94</v>
      </c>
      <c r="G42" s="426"/>
      <c r="H42" s="46" t="s">
        <v>39</v>
      </c>
      <c r="I42" s="24">
        <f t="shared" ref="I42" si="20">TRUNC(G42*(1+HLOOKUP(H42,$F$11:$I$12,2,FALSE)),2)</f>
        <v>0</v>
      </c>
      <c r="J42" s="24">
        <f t="shared" ref="J42" si="21">TRUNC(F42*I42,2)</f>
        <v>0</v>
      </c>
      <c r="K42" s="54"/>
      <c r="L42" s="79"/>
      <c r="M42" s="78">
        <f>(M41+M40)*30</f>
        <v>12906.935999999998</v>
      </c>
      <c r="N42" s="94"/>
    </row>
    <row r="43" spans="1:14" s="69" customFormat="1" ht="15.75" x14ac:dyDescent="0.2">
      <c r="A43" s="84" t="s">
        <v>118</v>
      </c>
      <c r="B43" s="85"/>
      <c r="C43" s="86"/>
      <c r="D43" s="87" t="s">
        <v>290</v>
      </c>
      <c r="E43" s="88"/>
      <c r="F43" s="89"/>
      <c r="G43" s="428"/>
      <c r="H43" s="90"/>
      <c r="I43" s="89"/>
      <c r="J43" s="89">
        <f>SUM(J44:J45)</f>
        <v>0</v>
      </c>
      <c r="K43" s="126" t="e">
        <f>J43/$J$65</f>
        <v>#DIV/0!</v>
      </c>
      <c r="L43" s="79"/>
      <c r="M43" s="78"/>
      <c r="N43" s="94"/>
    </row>
    <row r="44" spans="1:14" s="69" customFormat="1" ht="53.25" customHeight="1" x14ac:dyDescent="0.2">
      <c r="A44" s="91" t="s">
        <v>128</v>
      </c>
      <c r="B44" s="19" t="s">
        <v>5</v>
      </c>
      <c r="C44" s="74">
        <v>90746</v>
      </c>
      <c r="D44" s="75" t="s">
        <v>276</v>
      </c>
      <c r="E44" s="76" t="s">
        <v>13</v>
      </c>
      <c r="F44" s="24">
        <f t="shared" ref="F44" si="22">ROUND(M44,2)</f>
        <v>1792.63</v>
      </c>
      <c r="G44" s="426"/>
      <c r="H44" s="46" t="s">
        <v>39</v>
      </c>
      <c r="I44" s="24">
        <f t="shared" ref="I44" si="23">TRUNC(G44*(1+HLOOKUP(H44,$F$11:$I$12,2,FALSE)),2)</f>
        <v>0</v>
      </c>
      <c r="J44" s="24">
        <f t="shared" ref="J44" si="24">TRUNC(F44*I44,2)</f>
        <v>0</v>
      </c>
      <c r="K44" s="54"/>
      <c r="L44" s="79"/>
      <c r="M44" s="78">
        <v>1792.63</v>
      </c>
      <c r="N44" s="94"/>
    </row>
    <row r="45" spans="1:14" s="69" customFormat="1" ht="37.5" customHeight="1" x14ac:dyDescent="0.2">
      <c r="A45" s="91" t="s">
        <v>128</v>
      </c>
      <c r="B45" s="19" t="s">
        <v>5</v>
      </c>
      <c r="C45" s="74">
        <v>41781</v>
      </c>
      <c r="D45" s="75" t="s">
        <v>258</v>
      </c>
      <c r="E45" s="76" t="s">
        <v>13</v>
      </c>
      <c r="F45" s="24">
        <f t="shared" ref="F45" si="25">ROUND(M45,2)</f>
        <v>1792.63</v>
      </c>
      <c r="G45" s="426"/>
      <c r="H45" s="46" t="s">
        <v>40</v>
      </c>
      <c r="I45" s="24">
        <f t="shared" ref="I45" si="26">TRUNC(G45*(1+HLOOKUP(H45,$F$11:$I$12,2,FALSE)),2)</f>
        <v>0</v>
      </c>
      <c r="J45" s="24">
        <f t="shared" ref="J45" si="27">TRUNC(F45*I45,2)</f>
        <v>0</v>
      </c>
      <c r="K45" s="54"/>
      <c r="L45" s="79"/>
      <c r="M45" s="78">
        <v>1792.63</v>
      </c>
      <c r="N45" s="94"/>
    </row>
    <row r="46" spans="1:14" s="69" customFormat="1" ht="15.75" x14ac:dyDescent="0.2">
      <c r="A46" s="84" t="s">
        <v>119</v>
      </c>
      <c r="B46" s="85"/>
      <c r="C46" s="86"/>
      <c r="D46" s="87" t="s">
        <v>114</v>
      </c>
      <c r="E46" s="88"/>
      <c r="F46" s="89"/>
      <c r="G46" s="428"/>
      <c r="H46" s="90"/>
      <c r="I46" s="89"/>
      <c r="J46" s="89">
        <f>SUM(J47:J51)</f>
        <v>0</v>
      </c>
      <c r="K46" s="126" t="e">
        <f>J46/$J$65</f>
        <v>#DIV/0!</v>
      </c>
      <c r="L46" s="79"/>
      <c r="M46" s="78"/>
      <c r="N46" s="94"/>
    </row>
    <row r="47" spans="1:14" s="69" customFormat="1" ht="51" x14ac:dyDescent="0.2">
      <c r="A47" s="91" t="s">
        <v>134</v>
      </c>
      <c r="B47" s="19" t="s">
        <v>5</v>
      </c>
      <c r="C47" s="74">
        <v>98410</v>
      </c>
      <c r="D47" s="75" t="s">
        <v>127</v>
      </c>
      <c r="E47" s="76" t="s">
        <v>36</v>
      </c>
      <c r="F47" s="24">
        <f t="shared" ref="F47:F51" si="28">ROUND(M47,2)</f>
        <v>22</v>
      </c>
      <c r="G47" s="426"/>
      <c r="H47" s="46" t="s">
        <v>39</v>
      </c>
      <c r="I47" s="24">
        <f t="shared" ref="I47:I51" si="29">TRUNC(G47*(1+HLOOKUP(H47,$F$11:$I$12,2,FALSE)),2)</f>
        <v>0</v>
      </c>
      <c r="J47" s="24">
        <f t="shared" ref="J47:J51" si="30">TRUNC(F47*I47,2)</f>
        <v>0</v>
      </c>
      <c r="K47" s="54"/>
      <c r="L47" s="79"/>
      <c r="M47" s="78">
        <f>'ANEXO VI-A - Mem. complementar'!AE59</f>
        <v>22</v>
      </c>
      <c r="N47" s="94"/>
    </row>
    <row r="48" spans="1:14" s="69" customFormat="1" ht="38.25" x14ac:dyDescent="0.2">
      <c r="A48" s="91" t="s">
        <v>136</v>
      </c>
      <c r="B48" s="19" t="s">
        <v>5</v>
      </c>
      <c r="C48" s="74">
        <v>97983</v>
      </c>
      <c r="D48" s="75" t="s">
        <v>125</v>
      </c>
      <c r="E48" s="76" t="s">
        <v>13</v>
      </c>
      <c r="F48" s="24">
        <f t="shared" si="28"/>
        <v>7.74</v>
      </c>
      <c r="G48" s="426"/>
      <c r="H48" s="46" t="s">
        <v>39</v>
      </c>
      <c r="I48" s="24">
        <f t="shared" si="29"/>
        <v>0</v>
      </c>
      <c r="J48" s="24">
        <f t="shared" si="30"/>
        <v>0</v>
      </c>
      <c r="K48" s="54"/>
      <c r="L48" s="79"/>
      <c r="M48" s="78">
        <f>'ANEXO VI-A - Mem. complementar'!AG59</f>
        <v>7.7350000000001353</v>
      </c>
      <c r="N48" s="94"/>
    </row>
    <row r="49" spans="1:14" s="69" customFormat="1" ht="38.25" x14ac:dyDescent="0.2">
      <c r="A49" s="91" t="s">
        <v>231</v>
      </c>
      <c r="B49" s="19" t="s">
        <v>5</v>
      </c>
      <c r="C49" s="74">
        <v>98050</v>
      </c>
      <c r="D49" s="75" t="s">
        <v>129</v>
      </c>
      <c r="E49" s="76" t="s">
        <v>13</v>
      </c>
      <c r="F49" s="24">
        <f t="shared" si="28"/>
        <v>11</v>
      </c>
      <c r="G49" s="426"/>
      <c r="H49" s="46" t="s">
        <v>39</v>
      </c>
      <c r="I49" s="24">
        <f t="shared" si="29"/>
        <v>0</v>
      </c>
      <c r="J49" s="24">
        <f t="shared" si="30"/>
        <v>0</v>
      </c>
      <c r="K49" s="54"/>
      <c r="L49" s="79"/>
      <c r="M49" s="78">
        <f>'ANEXO VI-A - Mem. complementar'!AF59</f>
        <v>11</v>
      </c>
      <c r="N49" s="94"/>
    </row>
    <row r="50" spans="1:14" s="69" customFormat="1" ht="38.25" x14ac:dyDescent="0.2">
      <c r="A50" s="91" t="s">
        <v>232</v>
      </c>
      <c r="B50" s="19" t="s">
        <v>5</v>
      </c>
      <c r="C50" s="74">
        <v>90730</v>
      </c>
      <c r="D50" s="75" t="s">
        <v>130</v>
      </c>
      <c r="E50" s="76" t="s">
        <v>36</v>
      </c>
      <c r="F50" s="24">
        <f t="shared" si="28"/>
        <v>44</v>
      </c>
      <c r="G50" s="426"/>
      <c r="H50" s="46" t="s">
        <v>39</v>
      </c>
      <c r="I50" s="24">
        <f t="shared" si="29"/>
        <v>0</v>
      </c>
      <c r="J50" s="24">
        <f t="shared" si="30"/>
        <v>0</v>
      </c>
      <c r="K50" s="54"/>
      <c r="L50" s="79"/>
      <c r="M50" s="78">
        <f>2*M47</f>
        <v>44</v>
      </c>
      <c r="N50" s="94"/>
    </row>
    <row r="51" spans="1:14" s="69" customFormat="1" ht="38.25" x14ac:dyDescent="0.2">
      <c r="A51" s="91" t="s">
        <v>233</v>
      </c>
      <c r="B51" s="19" t="s">
        <v>5</v>
      </c>
      <c r="C51" s="74">
        <v>97739</v>
      </c>
      <c r="D51" s="75" t="s">
        <v>126</v>
      </c>
      <c r="E51" s="76" t="s">
        <v>14</v>
      </c>
      <c r="F51" s="24">
        <f t="shared" si="28"/>
        <v>0.73</v>
      </c>
      <c r="G51" s="426"/>
      <c r="H51" s="46" t="s">
        <v>39</v>
      </c>
      <c r="I51" s="24">
        <f t="shared" si="29"/>
        <v>0</v>
      </c>
      <c r="J51" s="24">
        <f t="shared" si="30"/>
        <v>0</v>
      </c>
      <c r="K51" s="54"/>
      <c r="L51" s="79"/>
      <c r="M51" s="78">
        <f>(0.65^2*PI()/4*0.1)*M47</f>
        <v>0.73002759287792829</v>
      </c>
      <c r="N51" s="94"/>
    </row>
    <row r="52" spans="1:14" s="69" customFormat="1" ht="15.75" x14ac:dyDescent="0.2">
      <c r="A52" s="84" t="s">
        <v>217</v>
      </c>
      <c r="B52" s="85"/>
      <c r="C52" s="86"/>
      <c r="D52" s="87" t="s">
        <v>116</v>
      </c>
      <c r="E52" s="88"/>
      <c r="F52" s="89"/>
      <c r="G52" s="428"/>
      <c r="H52" s="90"/>
      <c r="I52" s="89"/>
      <c r="J52" s="89">
        <f>SUM(J53:J54)</f>
        <v>0</v>
      </c>
      <c r="K52" s="126" t="e">
        <f>J52/$J$65</f>
        <v>#DIV/0!</v>
      </c>
      <c r="L52" s="79"/>
      <c r="M52" s="78"/>
      <c r="N52" s="94"/>
    </row>
    <row r="53" spans="1:14" s="69" customFormat="1" ht="76.5" x14ac:dyDescent="0.2">
      <c r="A53" s="91" t="s">
        <v>218</v>
      </c>
      <c r="B53" s="19" t="s">
        <v>5</v>
      </c>
      <c r="C53" s="74">
        <v>104734</v>
      </c>
      <c r="D53" s="75" t="s">
        <v>135</v>
      </c>
      <c r="E53" s="76" t="s">
        <v>14</v>
      </c>
      <c r="F53" s="24">
        <f t="shared" ref="F53" si="31">ROUND(M53,2)</f>
        <v>45.7</v>
      </c>
      <c r="G53" s="426"/>
      <c r="H53" s="46" t="s">
        <v>39</v>
      </c>
      <c r="I53" s="24">
        <f t="shared" ref="I53" si="32">TRUNC(G53*(1+HLOOKUP(H53,$F$11:$I$12,2,FALSE)),2)</f>
        <v>0</v>
      </c>
      <c r="J53" s="24">
        <f t="shared" ref="J53:J54" si="33">TRUNC(F53*I53,2)</f>
        <v>0</v>
      </c>
      <c r="K53" s="54"/>
      <c r="L53" s="79"/>
      <c r="M53" s="78">
        <f>M36-'ANEXO VI-A - Mem. complementar'!AH15-'ANEXO VI-A - Mem. complementar'!AI15-(3.14*0.23^2*'ANEXO VI-A - Mem. complementar'!B15)</f>
        <v>45.701816440000222</v>
      </c>
      <c r="N53" s="94"/>
    </row>
    <row r="54" spans="1:14" s="69" customFormat="1" ht="76.5" x14ac:dyDescent="0.2">
      <c r="A54" s="91" t="s">
        <v>219</v>
      </c>
      <c r="B54" s="19" t="s">
        <v>5</v>
      </c>
      <c r="C54" s="74">
        <v>104736</v>
      </c>
      <c r="D54" s="75" t="s">
        <v>133</v>
      </c>
      <c r="E54" s="76" t="s">
        <v>14</v>
      </c>
      <c r="F54" s="24">
        <f t="shared" ref="F54" si="34">ROUND(M54,2)</f>
        <v>2447.56</v>
      </c>
      <c r="G54" s="426"/>
      <c r="H54" s="46" t="s">
        <v>39</v>
      </c>
      <c r="I54" s="24">
        <f t="shared" ref="I54" si="35">TRUNC(G54*(1+HLOOKUP(H54,$F$11:$I$12,2,FALSE)),2)</f>
        <v>0</v>
      </c>
      <c r="J54" s="24">
        <f t="shared" si="33"/>
        <v>0</v>
      </c>
      <c r="K54" s="54"/>
      <c r="L54" s="79"/>
      <c r="M54" s="78">
        <f>M37-('ANEXO VI-A - Mem. complementar'!AH59+1.58)-('ANEXO VI-A - Mem. complementar'!AI59+4.73)-(3.14*0.23^2*SUM('ANEXO VI-A - Mem. complementar'!B17:B56))</f>
        <v>2447.5605447800081</v>
      </c>
      <c r="N54" s="94"/>
    </row>
    <row r="55" spans="1:14" s="69" customFormat="1" ht="15.75" x14ac:dyDescent="0.2">
      <c r="A55" s="84" t="s">
        <v>234</v>
      </c>
      <c r="B55" s="85"/>
      <c r="C55" s="86"/>
      <c r="D55" s="87" t="s">
        <v>291</v>
      </c>
      <c r="E55" s="88"/>
      <c r="F55" s="89"/>
      <c r="G55" s="428"/>
      <c r="H55" s="90"/>
      <c r="I55" s="89"/>
      <c r="J55" s="89">
        <f>SUM(J56:J57)</f>
        <v>0</v>
      </c>
      <c r="K55" s="126" t="e">
        <f>J55/$J$65</f>
        <v>#DIV/0!</v>
      </c>
      <c r="L55" s="79"/>
      <c r="M55" s="78"/>
      <c r="N55" s="94"/>
    </row>
    <row r="56" spans="1:14" s="69" customFormat="1" ht="51" x14ac:dyDescent="0.2">
      <c r="A56" s="91" t="s">
        <v>308</v>
      </c>
      <c r="B56" s="19" t="s">
        <v>5</v>
      </c>
      <c r="C56" s="74">
        <v>100975</v>
      </c>
      <c r="D56" s="75" t="s">
        <v>220</v>
      </c>
      <c r="E56" s="76" t="s">
        <v>14</v>
      </c>
      <c r="F56" s="24">
        <v>575.66</v>
      </c>
      <c r="G56" s="426"/>
      <c r="H56" s="46" t="s">
        <v>39</v>
      </c>
      <c r="I56" s="24">
        <f t="shared" ref="I56" si="36">TRUNC(G56*(1+HLOOKUP(H56,$F$11:$I$12,2,FALSE)),2)</f>
        <v>0</v>
      </c>
      <c r="J56" s="24">
        <f t="shared" ref="J56" si="37">TRUNC(F56*I56,2)</f>
        <v>0</v>
      </c>
      <c r="K56" s="54"/>
      <c r="L56" s="79"/>
      <c r="M56" s="78"/>
      <c r="N56" s="94" t="s">
        <v>221</v>
      </c>
    </row>
    <row r="57" spans="1:14" s="69" customFormat="1" ht="38.25" x14ac:dyDescent="0.2">
      <c r="A57" s="91" t="s">
        <v>235</v>
      </c>
      <c r="B57" s="203" t="s">
        <v>5</v>
      </c>
      <c r="C57" s="202">
        <v>95875</v>
      </c>
      <c r="D57" s="204" t="s">
        <v>280</v>
      </c>
      <c r="E57" s="205" t="s">
        <v>281</v>
      </c>
      <c r="F57" s="24">
        <v>5756.6</v>
      </c>
      <c r="G57" s="425"/>
      <c r="H57" s="46" t="s">
        <v>39</v>
      </c>
      <c r="I57" s="24">
        <f t="shared" ref="I57" si="38">TRUNC(G57*(1+HLOOKUP(H57,$F$11:$I$12,2,FALSE)),2)</f>
        <v>0</v>
      </c>
      <c r="J57" s="24">
        <f t="shared" ref="J57" si="39">TRUNC(F57*I57,2)</f>
        <v>0</v>
      </c>
      <c r="K57" s="54"/>
      <c r="L57" s="79"/>
      <c r="M57" s="78"/>
      <c r="N57" s="94" t="s">
        <v>221</v>
      </c>
    </row>
    <row r="58" spans="1:14" s="69" customFormat="1" ht="15.75" x14ac:dyDescent="0.2">
      <c r="A58" s="84" t="s">
        <v>305</v>
      </c>
      <c r="B58" s="85"/>
      <c r="C58" s="86"/>
      <c r="D58" s="87" t="s">
        <v>304</v>
      </c>
      <c r="E58" s="88"/>
      <c r="F58" s="89"/>
      <c r="G58" s="428"/>
      <c r="H58" s="90"/>
      <c r="I58" s="89"/>
      <c r="J58" s="89">
        <f>SUM(J59)</f>
        <v>0</v>
      </c>
      <c r="K58" s="126" t="e">
        <f>J58/$J$65</f>
        <v>#DIV/0!</v>
      </c>
      <c r="L58" s="79"/>
      <c r="M58" s="78"/>
      <c r="N58" s="94"/>
    </row>
    <row r="59" spans="1:14" s="69" customFormat="1" ht="38.25" x14ac:dyDescent="0.2">
      <c r="A59" s="91" t="s">
        <v>235</v>
      </c>
      <c r="B59" s="19" t="s">
        <v>5</v>
      </c>
      <c r="C59" s="74">
        <v>103915</v>
      </c>
      <c r="D59" s="75" t="s">
        <v>306</v>
      </c>
      <c r="E59" s="76" t="s">
        <v>307</v>
      </c>
      <c r="F59" s="24">
        <f>N59</f>
        <v>7</v>
      </c>
      <c r="G59" s="426"/>
      <c r="H59" s="46" t="s">
        <v>39</v>
      </c>
      <c r="I59" s="24">
        <f t="shared" ref="I59" si="40">TRUNC(G59*(1+HLOOKUP(H59,$F$11:$I$12,2,FALSE)),2)</f>
        <v>0</v>
      </c>
      <c r="J59" s="24">
        <f t="shared" ref="J59" si="41">TRUNC(F59*I59,2)</f>
        <v>0</v>
      </c>
      <c r="K59" s="54"/>
      <c r="L59" s="79"/>
      <c r="M59" s="78"/>
      <c r="N59" s="94">
        <f>1.4*5</f>
        <v>7</v>
      </c>
    </row>
    <row r="60" spans="1:14" s="69" customFormat="1" ht="30" customHeight="1" x14ac:dyDescent="0.2">
      <c r="A60" s="58" t="s">
        <v>53</v>
      </c>
      <c r="B60" s="59"/>
      <c r="C60" s="60"/>
      <c r="D60" s="61" t="s">
        <v>95</v>
      </c>
      <c r="E60" s="62"/>
      <c r="F60" s="63"/>
      <c r="G60" s="427"/>
      <c r="H60" s="63"/>
      <c r="I60" s="63" t="s">
        <v>17</v>
      </c>
      <c r="J60" s="64">
        <f>SUM(J61:J63)</f>
        <v>0</v>
      </c>
      <c r="K60" s="65" t="e">
        <f>J60/$J$65</f>
        <v>#DIV/0!</v>
      </c>
      <c r="L60" s="15"/>
      <c r="M60" s="3"/>
      <c r="N60" s="94"/>
    </row>
    <row r="61" spans="1:14" s="69" customFormat="1" ht="25.5" x14ac:dyDescent="0.2">
      <c r="A61" s="39" t="s">
        <v>94</v>
      </c>
      <c r="B61" s="40" t="s">
        <v>57</v>
      </c>
      <c r="C61" s="80">
        <v>70010013</v>
      </c>
      <c r="D61" s="81" t="s">
        <v>132</v>
      </c>
      <c r="E61" s="82" t="s">
        <v>13</v>
      </c>
      <c r="F61" s="23">
        <v>1876.67</v>
      </c>
      <c r="G61" s="426"/>
      <c r="H61" s="46" t="s">
        <v>39</v>
      </c>
      <c r="I61" s="23">
        <f t="shared" ref="I61:I63" si="42">TRUNC(G61*(1+HLOOKUP(H61,$F$11:$I$12,2,FALSE)),2)</f>
        <v>0</v>
      </c>
      <c r="J61" s="24">
        <f t="shared" ref="J61:J63" si="43">TRUNC(F61*I61,2)</f>
        <v>0</v>
      </c>
      <c r="K61" s="83"/>
      <c r="L61" s="77"/>
      <c r="M61" s="78">
        <f>M12</f>
        <v>0</v>
      </c>
      <c r="N61" s="96"/>
    </row>
    <row r="62" spans="1:14" s="69" customFormat="1" ht="38.25" x14ac:dyDescent="0.2">
      <c r="A62" s="39" t="s">
        <v>94</v>
      </c>
      <c r="B62" s="19" t="s">
        <v>5</v>
      </c>
      <c r="C62" s="80">
        <v>104086</v>
      </c>
      <c r="D62" s="81" t="s">
        <v>301</v>
      </c>
      <c r="E62" s="82" t="s">
        <v>13</v>
      </c>
      <c r="F62" s="23">
        <v>33</v>
      </c>
      <c r="G62" s="426"/>
      <c r="H62" s="46" t="s">
        <v>39</v>
      </c>
      <c r="I62" s="23">
        <f t="shared" si="42"/>
        <v>0</v>
      </c>
      <c r="J62" s="24">
        <f t="shared" si="43"/>
        <v>0</v>
      </c>
      <c r="K62" s="83"/>
      <c r="L62" s="77"/>
      <c r="M62" s="78">
        <f>M13</f>
        <v>0</v>
      </c>
      <c r="N62" s="96"/>
    </row>
    <row r="63" spans="1:14" s="69" customFormat="1" ht="51" x14ac:dyDescent="0.2">
      <c r="A63" s="39" t="s">
        <v>269</v>
      </c>
      <c r="B63" s="40" t="s">
        <v>5</v>
      </c>
      <c r="C63" s="80">
        <v>101204</v>
      </c>
      <c r="D63" s="81" t="s">
        <v>259</v>
      </c>
      <c r="E63" s="82" t="s">
        <v>13</v>
      </c>
      <c r="F63" s="23">
        <f t="shared" ref="F63" si="44">ROUND(M63,2)</f>
        <v>36</v>
      </c>
      <c r="G63" s="426"/>
      <c r="H63" s="46" t="s">
        <v>39</v>
      </c>
      <c r="I63" s="23">
        <f t="shared" si="42"/>
        <v>0</v>
      </c>
      <c r="J63" s="24">
        <f t="shared" si="43"/>
        <v>0</v>
      </c>
      <c r="K63" s="83"/>
      <c r="L63" s="77"/>
      <c r="M63" s="78">
        <f>6*6</f>
        <v>36</v>
      </c>
      <c r="N63" s="96"/>
    </row>
    <row r="64" spans="1:14" s="72" customFormat="1" ht="30" customHeight="1" x14ac:dyDescent="0.2">
      <c r="A64" s="50" t="s">
        <v>48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49"/>
      <c r="M64" s="3"/>
      <c r="N64" s="95"/>
    </row>
    <row r="65" spans="1:14" s="68" customFormat="1" ht="30" customHeight="1" x14ac:dyDescent="0.2">
      <c r="A65" s="280" t="s">
        <v>46</v>
      </c>
      <c r="B65" s="281"/>
      <c r="C65" s="281"/>
      <c r="D65" s="281"/>
      <c r="E65" s="281"/>
      <c r="F65" s="281"/>
      <c r="G65" s="281"/>
      <c r="H65" s="281"/>
      <c r="I65" s="281"/>
      <c r="J65" s="173">
        <f>J15+J22+J34+J60</f>
        <v>0</v>
      </c>
      <c r="K65" s="174" t="e">
        <f>J65/$J$65</f>
        <v>#DIV/0!</v>
      </c>
      <c r="L65" s="16"/>
      <c r="M65" s="10"/>
      <c r="N65" s="97"/>
    </row>
    <row r="66" spans="1:14" s="69" customFormat="1" x14ac:dyDescent="0.2">
      <c r="A66" s="55"/>
      <c r="B66" s="51"/>
      <c r="C66" s="55"/>
      <c r="D66" s="55"/>
      <c r="E66" s="55"/>
      <c r="F66" s="55"/>
      <c r="G66" s="55"/>
      <c r="H66" s="55"/>
      <c r="I66" s="55"/>
      <c r="J66" s="125"/>
      <c r="K66" s="55"/>
      <c r="L66" s="17"/>
      <c r="M66" s="3"/>
      <c r="N66" s="94"/>
    </row>
    <row r="67" spans="1:14" s="69" customFormat="1" x14ac:dyDescent="0.2">
      <c r="A67" s="56"/>
      <c r="B67" s="57"/>
      <c r="C67" s="53"/>
      <c r="D67" s="8"/>
      <c r="E67" s="5"/>
      <c r="F67" s="6"/>
      <c r="G67" s="6"/>
      <c r="H67" s="6"/>
      <c r="I67" s="6"/>
      <c r="J67" s="7"/>
      <c r="K67" s="52"/>
      <c r="L67" s="18"/>
      <c r="M67" s="3"/>
      <c r="N67" s="94"/>
    </row>
    <row r="68" spans="1:14" s="69" customFormat="1" x14ac:dyDescent="0.2">
      <c r="A68" s="278" t="s">
        <v>303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18"/>
      <c r="M68" s="9" t="s">
        <v>59</v>
      </c>
      <c r="N68" s="94"/>
    </row>
  </sheetData>
  <sheetProtection password="E8B5" sheet="1" formatCells="0" formatColumns="0" formatRows="0" insertColumns="0" insertRows="0" insertHyperlinks="0" deleteColumns="0" deleteRows="0" sort="0" autoFilter="0" pivotTables="0"/>
  <mergeCells count="13">
    <mergeCell ref="A68:K68"/>
    <mergeCell ref="A1:B1"/>
    <mergeCell ref="C1:K1"/>
    <mergeCell ref="A65:I65"/>
    <mergeCell ref="A3:K3"/>
    <mergeCell ref="A6:K6"/>
    <mergeCell ref="A7:K7"/>
    <mergeCell ref="A2:K2"/>
    <mergeCell ref="A5:K5"/>
    <mergeCell ref="A4:K4"/>
    <mergeCell ref="H8:K9"/>
    <mergeCell ref="A9:F9"/>
    <mergeCell ref="A12:E12"/>
  </mergeCells>
  <dataValidations disablePrompts="1" count="1">
    <dataValidation type="list" allowBlank="1" showInputMessage="1" showErrorMessage="1" sqref="H61:H63 H16:H21 H23:H33 H35:H59">
      <formula1>$F$11:$I$11</formula1>
    </dataValidation>
  </dataValidations>
  <printOptions horizontalCentered="1"/>
  <pageMargins left="0.78740157480314965" right="0.59055118110236227" top="0.78740157480314965" bottom="0.59055118110236227" header="0.39370078740157483" footer="0.19685039370078741"/>
  <pageSetup paperSize="9" scale="53" firstPageNumber="0" fitToHeight="0" orientation="portrait" r:id="rId1"/>
  <headerFooter>
    <oddHeader>&amp;A</oddHeader>
    <oddFooter>Página &amp;P 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view="pageBreakPreview" topLeftCell="A16" zoomScale="115" zoomScaleNormal="100" zoomScaleSheetLayoutView="115" workbookViewId="0">
      <selection activeCell="C7" sqref="C7"/>
    </sheetView>
  </sheetViews>
  <sheetFormatPr defaultRowHeight="12.75" x14ac:dyDescent="0.2"/>
  <cols>
    <col min="1" max="1" width="13.28515625" style="1" bestFit="1" customWidth="1"/>
    <col min="2" max="3" width="20.7109375" style="1" customWidth="1"/>
    <col min="4" max="4" width="11.5703125" style="116" customWidth="1"/>
    <col min="5" max="5" width="3.85546875" style="1" customWidth="1"/>
    <col min="6" max="8" width="13.28515625" style="1" customWidth="1"/>
  </cols>
  <sheetData>
    <row r="1" spans="1:8" s="468" customFormat="1" ht="113.25" customHeight="1" thickBot="1" x14ac:dyDescent="0.35">
      <c r="A1" s="467"/>
      <c r="B1" s="431" t="s">
        <v>91</v>
      </c>
      <c r="C1" s="431"/>
      <c r="D1" s="431"/>
      <c r="E1" s="431"/>
      <c r="F1" s="431"/>
      <c r="G1" s="431"/>
      <c r="H1" s="431"/>
    </row>
    <row r="2" spans="1:8" s="468" customFormat="1" ht="14.25" x14ac:dyDescent="0.2">
      <c r="A2" s="469"/>
      <c r="B2" s="470"/>
      <c r="C2" s="470"/>
      <c r="D2" s="470"/>
      <c r="E2" s="470"/>
      <c r="F2" s="470"/>
      <c r="G2" s="470"/>
      <c r="H2" s="470"/>
    </row>
    <row r="3" spans="1:8" s="468" customFormat="1" ht="14.25" customHeight="1" x14ac:dyDescent="0.2">
      <c r="A3" s="437" t="s">
        <v>310</v>
      </c>
      <c r="B3" s="437"/>
      <c r="C3" s="437"/>
      <c r="D3" s="437"/>
      <c r="E3" s="437"/>
      <c r="F3" s="437"/>
      <c r="G3" s="437"/>
      <c r="H3" s="437"/>
    </row>
    <row r="4" spans="1:8" s="468" customFormat="1" ht="14.25" customHeight="1" x14ac:dyDescent="0.2">
      <c r="A4" s="471"/>
      <c r="B4" s="471"/>
      <c r="C4" s="471"/>
      <c r="D4" s="471"/>
      <c r="E4" s="471"/>
      <c r="F4" s="471"/>
      <c r="G4" s="471"/>
      <c r="H4" s="471"/>
    </row>
    <row r="5" spans="1:8" s="468" customFormat="1" ht="15" x14ac:dyDescent="0.2">
      <c r="A5" s="437" t="s">
        <v>293</v>
      </c>
      <c r="B5" s="437"/>
      <c r="C5" s="437"/>
      <c r="D5" s="437"/>
      <c r="E5" s="437"/>
      <c r="F5" s="437"/>
      <c r="G5" s="437"/>
      <c r="H5" s="437"/>
    </row>
    <row r="6" spans="1:8" s="468" customFormat="1" x14ac:dyDescent="0.2">
      <c r="A6" s="438"/>
      <c r="B6" s="438"/>
      <c r="C6" s="438"/>
      <c r="D6" s="438"/>
      <c r="E6" s="438"/>
      <c r="F6" s="438"/>
      <c r="G6" s="438"/>
      <c r="H6" s="438"/>
    </row>
    <row r="7" spans="1:8" s="468" customFormat="1" ht="14.25" x14ac:dyDescent="0.2">
      <c r="A7" s="469"/>
      <c r="B7" s="470"/>
      <c r="C7" s="470"/>
      <c r="D7" s="470"/>
      <c r="E7" s="470"/>
      <c r="F7" s="470"/>
      <c r="G7" s="470"/>
      <c r="H7" s="470"/>
    </row>
    <row r="8" spans="1:8" s="468" customFormat="1" x14ac:dyDescent="0.2">
      <c r="A8" s="439" t="s">
        <v>60</v>
      </c>
      <c r="B8" s="440"/>
      <c r="C8" s="441"/>
      <c r="D8" s="441"/>
      <c r="E8" s="472"/>
      <c r="F8" s="472"/>
      <c r="G8" s="472"/>
      <c r="H8" s="473"/>
    </row>
    <row r="9" spans="1:8" s="468" customFormat="1" x14ac:dyDescent="0.2">
      <c r="A9" s="446" t="str">
        <f>'ANEXO II - Orçamento'!A9:E9</f>
        <v>CONSTRUÇÃO DO COLETOR DE ESGOTO PORTO ROYALE</v>
      </c>
      <c r="B9" s="447"/>
      <c r="C9" s="447"/>
      <c r="D9" s="447"/>
      <c r="E9" s="447"/>
      <c r="F9" s="447"/>
      <c r="G9" s="447"/>
      <c r="H9" s="448"/>
    </row>
    <row r="10" spans="1:8" s="468" customFormat="1" ht="14.25" x14ac:dyDescent="0.2">
      <c r="A10" s="474"/>
      <c r="B10" s="470"/>
      <c r="C10" s="470"/>
      <c r="D10" s="470"/>
      <c r="E10" s="470"/>
      <c r="F10" s="470"/>
      <c r="G10" s="470"/>
      <c r="H10" s="470"/>
    </row>
    <row r="11" spans="1:8" s="468" customFormat="1" ht="14.25" x14ac:dyDescent="0.2">
      <c r="A11" s="439" t="s">
        <v>38</v>
      </c>
      <c r="B11" s="440"/>
      <c r="C11" s="441"/>
      <c r="D11" s="441"/>
      <c r="E11" s="470"/>
      <c r="F11" s="475"/>
      <c r="G11" s="442" t="s">
        <v>43</v>
      </c>
      <c r="H11" s="457" t="s">
        <v>42</v>
      </c>
    </row>
    <row r="12" spans="1:8" s="468" customFormat="1" x14ac:dyDescent="0.2">
      <c r="A12" s="446" t="str">
        <f>'ANEXO II - Orçamento'!A12</f>
        <v>MARGEM DIREITA DO CÓRREGO SANTA MARIA DO LEME, SÃO CARLOS/SP, ENTRE OS KM 239+143M E KM 237+494M DA RODOVIA WASHINGTON LUIS (SP-310)</v>
      </c>
      <c r="B12" s="447"/>
      <c r="C12" s="447"/>
      <c r="D12" s="447"/>
      <c r="E12" s="447"/>
      <c r="F12" s="448"/>
      <c r="G12" s="476">
        <f>'ANEXO II - Orçamento'!J12</f>
        <v>46023</v>
      </c>
      <c r="H12" s="465" t="str">
        <f>'ANEXO II - Orçamento'!K12</f>
        <v>00</v>
      </c>
    </row>
    <row r="13" spans="1:8" x14ac:dyDescent="0.2">
      <c r="A13" s="8"/>
      <c r="B13" s="8"/>
      <c r="C13" s="8"/>
      <c r="D13" s="53"/>
      <c r="E13" s="8"/>
      <c r="F13" s="8"/>
      <c r="G13" s="8"/>
      <c r="H13" s="8"/>
    </row>
    <row r="14" spans="1:8" x14ac:dyDescent="0.2">
      <c r="A14" s="298" t="s">
        <v>61</v>
      </c>
      <c r="B14" s="299"/>
      <c r="C14" s="299"/>
      <c r="D14" s="299"/>
      <c r="E14" s="299"/>
      <c r="F14" s="299"/>
      <c r="G14" s="299"/>
      <c r="H14" s="100">
        <v>1</v>
      </c>
    </row>
    <row r="15" spans="1:8" x14ac:dyDescent="0.2">
      <c r="A15" s="300" t="s">
        <v>62</v>
      </c>
      <c r="B15" s="301"/>
      <c r="C15" s="301"/>
      <c r="D15" s="301"/>
      <c r="E15" s="301"/>
      <c r="F15" s="301"/>
      <c r="G15" s="301"/>
      <c r="H15" s="101">
        <v>0.02</v>
      </c>
    </row>
    <row r="16" spans="1:8" x14ac:dyDescent="0.2">
      <c r="A16" s="102"/>
      <c r="B16" s="102"/>
      <c r="C16" s="102"/>
      <c r="D16" s="102"/>
      <c r="E16" s="102"/>
      <c r="F16" s="102"/>
      <c r="G16" s="102"/>
      <c r="H16" s="103"/>
    </row>
    <row r="17" spans="1:8" x14ac:dyDescent="0.2">
      <c r="A17" s="8"/>
      <c r="B17" s="8"/>
      <c r="C17" s="8"/>
      <c r="D17" s="53"/>
      <c r="E17" s="8"/>
      <c r="F17" s="8"/>
      <c r="G17" s="8"/>
      <c r="H17" s="8"/>
    </row>
    <row r="18" spans="1:8" ht="18" x14ac:dyDescent="0.2">
      <c r="A18" s="284" t="s">
        <v>39</v>
      </c>
      <c r="B18" s="285"/>
      <c r="C18" s="285"/>
      <c r="D18" s="285"/>
      <c r="E18" s="285"/>
      <c r="F18" s="285"/>
      <c r="G18" s="285"/>
      <c r="H18" s="286"/>
    </row>
    <row r="19" spans="1:8" x14ac:dyDescent="0.2">
      <c r="A19" s="8"/>
      <c r="B19" s="8"/>
      <c r="C19" s="8"/>
      <c r="D19" s="53"/>
      <c r="E19" s="8"/>
      <c r="F19" s="8"/>
      <c r="G19" s="8"/>
      <c r="H19" s="8"/>
    </row>
    <row r="20" spans="1:8" x14ac:dyDescent="0.2">
      <c r="A20" s="29" t="s">
        <v>63</v>
      </c>
      <c r="B20" s="104"/>
      <c r="C20" s="104"/>
      <c r="D20" s="105"/>
      <c r="E20" s="104"/>
      <c r="F20" s="287"/>
      <c r="G20" s="287"/>
      <c r="H20" s="288"/>
    </row>
    <row r="21" spans="1:8" x14ac:dyDescent="0.2">
      <c r="A21" s="289" t="s">
        <v>28</v>
      </c>
      <c r="B21" s="290"/>
      <c r="C21" s="290"/>
      <c r="D21" s="290"/>
      <c r="E21" s="290"/>
      <c r="F21" s="290"/>
      <c r="G21" s="290"/>
      <c r="H21" s="291"/>
    </row>
    <row r="22" spans="1:8" x14ac:dyDescent="0.2">
      <c r="A22" s="8"/>
      <c r="B22" s="8"/>
      <c r="C22" s="8"/>
      <c r="D22" s="53"/>
      <c r="E22" s="8"/>
      <c r="F22" s="8"/>
      <c r="G22" s="8"/>
      <c r="H22" s="8"/>
    </row>
    <row r="23" spans="1:8" x14ac:dyDescent="0.2">
      <c r="A23" s="293" t="s">
        <v>65</v>
      </c>
      <c r="B23" s="293"/>
      <c r="C23" s="293"/>
      <c r="D23" s="293"/>
      <c r="E23" s="106"/>
      <c r="F23" s="294" t="s">
        <v>66</v>
      </c>
      <c r="G23" s="294"/>
      <c r="H23" s="294"/>
    </row>
    <row r="24" spans="1:8" x14ac:dyDescent="0.2">
      <c r="A24" s="117" t="s">
        <v>67</v>
      </c>
      <c r="B24" s="295" t="s">
        <v>68</v>
      </c>
      <c r="C24" s="295"/>
      <c r="D24" s="117" t="s">
        <v>4</v>
      </c>
      <c r="E24" s="55"/>
      <c r="F24" s="117" t="s">
        <v>23</v>
      </c>
      <c r="G24" s="117" t="s">
        <v>18</v>
      </c>
      <c r="H24" s="117" t="s">
        <v>69</v>
      </c>
    </row>
    <row r="25" spans="1:8" x14ac:dyDescent="0.2">
      <c r="A25" s="108" t="s">
        <v>70</v>
      </c>
      <c r="B25" s="296" t="s">
        <v>19</v>
      </c>
      <c r="C25" s="296"/>
      <c r="D25" s="477"/>
      <c r="E25" s="55"/>
      <c r="F25" s="109">
        <f>VLOOKUP($A$21,AC,2,0)</f>
        <v>3.4299999999999997E-2</v>
      </c>
      <c r="G25" s="109">
        <f>VLOOKUP($A$21,AC,3,0)</f>
        <v>4.9299999999999997E-2</v>
      </c>
      <c r="H25" s="109">
        <f>VLOOKUP($A$21,AC,4,0)</f>
        <v>6.7100000000000007E-2</v>
      </c>
    </row>
    <row r="26" spans="1:8" x14ac:dyDescent="0.2">
      <c r="A26" s="107" t="s">
        <v>71</v>
      </c>
      <c r="B26" s="297" t="s">
        <v>72</v>
      </c>
      <c r="C26" s="297"/>
      <c r="D26" s="478"/>
      <c r="E26" s="55"/>
      <c r="F26" s="118">
        <f>VLOOKUP($A$21,SG,2,0)</f>
        <v>2.8E-3</v>
      </c>
      <c r="G26" s="118">
        <f>VLOOKUP($A$21,SG,3,0)</f>
        <v>4.8999999999999998E-3</v>
      </c>
      <c r="H26" s="118">
        <f>VLOOKUP($A$21,SG,4,0)</f>
        <v>7.4999999999999997E-3</v>
      </c>
    </row>
    <row r="27" spans="1:8" x14ac:dyDescent="0.2">
      <c r="A27" s="108" t="s">
        <v>73</v>
      </c>
      <c r="B27" s="296" t="s">
        <v>20</v>
      </c>
      <c r="C27" s="296"/>
      <c r="D27" s="477"/>
      <c r="E27" s="55"/>
      <c r="F27" s="109">
        <f>VLOOKUP($A$21,RISCO,2,0)</f>
        <v>0.01</v>
      </c>
      <c r="G27" s="109">
        <f>VLOOKUP($A$21,RISCO,3,0)</f>
        <v>1.3899999999999999E-2</v>
      </c>
      <c r="H27" s="109">
        <f>VLOOKUP($A$21,RISCO,4,0)</f>
        <v>1.7399999999999999E-2</v>
      </c>
    </row>
    <row r="28" spans="1:8" x14ac:dyDescent="0.2">
      <c r="A28" s="107" t="s">
        <v>74</v>
      </c>
      <c r="B28" s="297" t="s">
        <v>75</v>
      </c>
      <c r="C28" s="297"/>
      <c r="D28" s="478"/>
      <c r="E28" s="55"/>
      <c r="F28" s="118">
        <f>VLOOKUP($A$21,DF,2,0)</f>
        <v>9.4000000000000004E-3</v>
      </c>
      <c r="G28" s="118">
        <f>VLOOKUP($A$21,DF,3,0)</f>
        <v>9.9000000000000008E-3</v>
      </c>
      <c r="H28" s="118">
        <f>VLOOKUP($A$21,DF,4,0)</f>
        <v>1.17E-2</v>
      </c>
    </row>
    <row r="29" spans="1:8" x14ac:dyDescent="0.2">
      <c r="A29" s="108" t="s">
        <v>76</v>
      </c>
      <c r="B29" s="296" t="s">
        <v>21</v>
      </c>
      <c r="C29" s="296"/>
      <c r="D29" s="479"/>
      <c r="E29" s="55"/>
      <c r="F29" s="109">
        <f>VLOOKUP($A$21,LUCRO,2,0)</f>
        <v>6.7400000000000002E-2</v>
      </c>
      <c r="G29" s="109">
        <f>VLOOKUP($A$21,LUCRO,3,0)</f>
        <v>8.0399999999999999E-2</v>
      </c>
      <c r="H29" s="109">
        <f>VLOOKUP($A$21,LUCRO,4,0)</f>
        <v>9.4E-2</v>
      </c>
    </row>
    <row r="30" spans="1:8" x14ac:dyDescent="0.2">
      <c r="A30" s="107" t="s">
        <v>77</v>
      </c>
      <c r="B30" s="297" t="s">
        <v>78</v>
      </c>
      <c r="C30" s="297"/>
      <c r="D30" s="480"/>
      <c r="E30" s="55"/>
      <c r="F30" s="118">
        <v>3.6499999999999998E-2</v>
      </c>
      <c r="G30" s="118">
        <v>3.6499999999999998E-2</v>
      </c>
      <c r="H30" s="118">
        <v>3.6499999999999998E-2</v>
      </c>
    </row>
    <row r="31" spans="1:8" x14ac:dyDescent="0.2">
      <c r="A31" s="108" t="s">
        <v>79</v>
      </c>
      <c r="B31" s="296" t="s">
        <v>80</v>
      </c>
      <c r="C31" s="296"/>
      <c r="D31" s="479"/>
      <c r="E31" s="55"/>
      <c r="F31" s="109">
        <v>0</v>
      </c>
      <c r="G31" s="109">
        <v>2.5000000000000001E-2</v>
      </c>
      <c r="H31" s="109">
        <v>0.05</v>
      </c>
    </row>
    <row r="32" spans="1:8" x14ac:dyDescent="0.2">
      <c r="A32" s="107" t="s">
        <v>81</v>
      </c>
      <c r="B32" s="297" t="s">
        <v>82</v>
      </c>
      <c r="C32" s="297"/>
      <c r="D32" s="480"/>
      <c r="E32" s="55"/>
      <c r="F32" s="118">
        <v>0</v>
      </c>
      <c r="G32" s="118">
        <v>4.4999999999999998E-2</v>
      </c>
      <c r="H32" s="118">
        <v>4.4999999999999998E-2</v>
      </c>
    </row>
    <row r="33" spans="1:8" x14ac:dyDescent="0.2">
      <c r="A33" s="110" t="s">
        <v>22</v>
      </c>
      <c r="B33" s="111" t="s">
        <v>83</v>
      </c>
      <c r="C33" s="110"/>
      <c r="D33" s="112">
        <f>ROUND((((1+D25+D26+D27)*(1+D28)*(1+D29)/(1-(D30+D31)))-1),4)</f>
        <v>0</v>
      </c>
      <c r="E33" s="104"/>
      <c r="F33" s="113">
        <f>VLOOKUP($A$21,VALOR_BDI,2,FALSE)</f>
        <v>0.20760000000000001</v>
      </c>
      <c r="G33" s="113">
        <f>VLOOKUP($A$21,VALOR_BDI,3,FALSE)</f>
        <v>0.24179999999999999</v>
      </c>
      <c r="H33" s="113">
        <f>VLOOKUP($A$21,VALOR_BDI,4,FALSE)</f>
        <v>0.26440000000000002</v>
      </c>
    </row>
    <row r="34" spans="1:8" ht="15.75" customHeight="1" x14ac:dyDescent="0.2">
      <c r="A34" s="119" t="s">
        <v>22</v>
      </c>
      <c r="B34" s="120" t="s">
        <v>84</v>
      </c>
      <c r="C34" s="119"/>
      <c r="D34" s="121">
        <f>ROUND((((1+D25+D26+D27)*(1+D28)*(1+D29)/(1-(D30+D31+D32)))-1),4)</f>
        <v>0</v>
      </c>
      <c r="E34" s="104"/>
      <c r="F34" s="292"/>
      <c r="G34" s="292"/>
      <c r="H34" s="292"/>
    </row>
    <row r="35" spans="1:8" x14ac:dyDescent="0.2">
      <c r="A35" s="114" t="s">
        <v>294</v>
      </c>
      <c r="B35" s="8"/>
      <c r="C35" s="8"/>
      <c r="D35" s="53"/>
      <c r="E35" s="8"/>
      <c r="F35" s="308" t="s">
        <v>64</v>
      </c>
      <c r="G35" s="308"/>
      <c r="H35" s="308"/>
    </row>
    <row r="36" spans="1:8" x14ac:dyDescent="0.2">
      <c r="A36" s="114"/>
      <c r="B36" s="8"/>
      <c r="C36" s="8"/>
      <c r="D36" s="53"/>
      <c r="E36" s="8"/>
      <c r="F36" s="115"/>
      <c r="G36" s="115"/>
      <c r="H36" s="115"/>
    </row>
    <row r="37" spans="1:8" ht="18" x14ac:dyDescent="0.2">
      <c r="A37" s="284" t="s">
        <v>40</v>
      </c>
      <c r="B37" s="285"/>
      <c r="C37" s="285"/>
      <c r="D37" s="285"/>
      <c r="E37" s="285"/>
      <c r="F37" s="285"/>
      <c r="G37" s="285"/>
      <c r="H37" s="286"/>
    </row>
    <row r="38" spans="1:8" x14ac:dyDescent="0.2">
      <c r="A38" s="114"/>
      <c r="B38" s="8"/>
      <c r="C38" s="8"/>
      <c r="D38" s="221"/>
      <c r="E38" s="8"/>
      <c r="F38" s="115"/>
      <c r="G38" s="115"/>
      <c r="H38" s="115"/>
    </row>
    <row r="39" spans="1:8" x14ac:dyDescent="0.2">
      <c r="A39" s="29" t="s">
        <v>63</v>
      </c>
      <c r="B39" s="104"/>
      <c r="C39" s="104"/>
      <c r="D39" s="105"/>
      <c r="E39" s="104"/>
      <c r="F39" s="287"/>
      <c r="G39" s="287"/>
      <c r="H39" s="288"/>
    </row>
    <row r="40" spans="1:8" ht="12.75" customHeight="1" x14ac:dyDescent="0.2">
      <c r="A40" s="289" t="s">
        <v>32</v>
      </c>
      <c r="B40" s="290"/>
      <c r="C40" s="290"/>
      <c r="D40" s="290"/>
      <c r="E40" s="290"/>
      <c r="F40" s="290"/>
      <c r="G40" s="290"/>
      <c r="H40" s="291"/>
    </row>
    <row r="41" spans="1:8" x14ac:dyDescent="0.2">
      <c r="A41" s="8"/>
      <c r="B41" s="8"/>
      <c r="C41" s="8"/>
      <c r="D41" s="218"/>
      <c r="E41" s="8"/>
      <c r="F41" s="8"/>
      <c r="G41" s="8"/>
      <c r="H41" s="8"/>
    </row>
    <row r="42" spans="1:8" x14ac:dyDescent="0.2">
      <c r="A42" s="293" t="s">
        <v>65</v>
      </c>
      <c r="B42" s="293"/>
      <c r="C42" s="293"/>
      <c r="D42" s="293"/>
      <c r="E42" s="106"/>
      <c r="F42" s="294" t="s">
        <v>66</v>
      </c>
      <c r="G42" s="294"/>
      <c r="H42" s="294"/>
    </row>
    <row r="43" spans="1:8" x14ac:dyDescent="0.2">
      <c r="A43" s="220" t="s">
        <v>67</v>
      </c>
      <c r="B43" s="295" t="s">
        <v>68</v>
      </c>
      <c r="C43" s="295"/>
      <c r="D43" s="220" t="s">
        <v>4</v>
      </c>
      <c r="E43" s="55"/>
      <c r="F43" s="220" t="s">
        <v>23</v>
      </c>
      <c r="G43" s="220" t="s">
        <v>18</v>
      </c>
      <c r="H43" s="220" t="s">
        <v>69</v>
      </c>
    </row>
    <row r="44" spans="1:8" x14ac:dyDescent="0.2">
      <c r="A44" s="219" t="s">
        <v>70</v>
      </c>
      <c r="B44" s="296" t="s">
        <v>19</v>
      </c>
      <c r="C44" s="296"/>
      <c r="D44" s="477"/>
      <c r="E44" s="55"/>
      <c r="F44" s="109">
        <f>VLOOKUP($A$40,AC,2,0)</f>
        <v>1.4999999999999999E-2</v>
      </c>
      <c r="G44" s="109">
        <f>VLOOKUP($A$40,AC,3,0)</f>
        <v>3.4500000000000003E-2</v>
      </c>
      <c r="H44" s="109">
        <f>VLOOKUP($A$40,AC,4,0)</f>
        <v>4.4900000000000002E-2</v>
      </c>
    </row>
    <row r="45" spans="1:8" x14ac:dyDescent="0.2">
      <c r="A45" s="217" t="s">
        <v>71</v>
      </c>
      <c r="B45" s="297" t="s">
        <v>72</v>
      </c>
      <c r="C45" s="297"/>
      <c r="D45" s="478"/>
      <c r="E45" s="55"/>
      <c r="F45" s="118">
        <f>VLOOKUP($A$40,SG,2,0)</f>
        <v>3.0000000000000001E-3</v>
      </c>
      <c r="G45" s="118">
        <f>VLOOKUP($A$40,SG,3,0)</f>
        <v>4.7999999999999996E-3</v>
      </c>
      <c r="H45" s="118">
        <f>VLOOKUP($A$40,SG,4,0)</f>
        <v>8.2000000000000007E-3</v>
      </c>
    </row>
    <row r="46" spans="1:8" x14ac:dyDescent="0.2">
      <c r="A46" s="219" t="s">
        <v>73</v>
      </c>
      <c r="B46" s="296" t="s">
        <v>20</v>
      </c>
      <c r="C46" s="296"/>
      <c r="D46" s="477"/>
      <c r="E46" s="55"/>
      <c r="F46" s="109">
        <f>VLOOKUP($A$40,RISCO,2,0)</f>
        <v>5.5999999999999999E-3</v>
      </c>
      <c r="G46" s="109">
        <f>VLOOKUP($A$40,RISCO,3,0)</f>
        <v>8.5000000000000006E-3</v>
      </c>
      <c r="H46" s="109">
        <f>VLOOKUP($A$40,RISCO,4,0)</f>
        <v>8.8999999999999999E-3</v>
      </c>
    </row>
    <row r="47" spans="1:8" x14ac:dyDescent="0.2">
      <c r="A47" s="217" t="s">
        <v>74</v>
      </c>
      <c r="B47" s="297" t="s">
        <v>75</v>
      </c>
      <c r="C47" s="297"/>
      <c r="D47" s="478"/>
      <c r="E47" s="55"/>
      <c r="F47" s="118">
        <f>VLOOKUP($A$40,DF,2,0)</f>
        <v>8.5000000000000006E-3</v>
      </c>
      <c r="G47" s="118">
        <f>VLOOKUP($A$40,DF,3,0)</f>
        <v>8.5000000000000006E-3</v>
      </c>
      <c r="H47" s="118">
        <f>VLOOKUP($A$40,DF,4,0)</f>
        <v>1.11E-2</v>
      </c>
    </row>
    <row r="48" spans="1:8" x14ac:dyDescent="0.2">
      <c r="A48" s="219" t="s">
        <v>76</v>
      </c>
      <c r="B48" s="296" t="s">
        <v>21</v>
      </c>
      <c r="C48" s="296"/>
      <c r="D48" s="479"/>
      <c r="E48" s="55"/>
      <c r="F48" s="109">
        <f>VLOOKUP($A$40,LUCRO,2,0)</f>
        <v>3.5000000000000003E-2</v>
      </c>
      <c r="G48" s="109">
        <f>VLOOKUP($A$40,LUCRO,3,0)</f>
        <v>5.11E-2</v>
      </c>
      <c r="H48" s="109">
        <f>VLOOKUP($A$40,LUCRO,4,0)</f>
        <v>6.2199999999999998E-2</v>
      </c>
    </row>
    <row r="49" spans="1:8" x14ac:dyDescent="0.2">
      <c r="A49" s="217" t="s">
        <v>77</v>
      </c>
      <c r="B49" s="297" t="s">
        <v>78</v>
      </c>
      <c r="C49" s="297"/>
      <c r="D49" s="480"/>
      <c r="E49" s="55"/>
      <c r="F49" s="118">
        <v>3.6499999999999998E-2</v>
      </c>
      <c r="G49" s="118">
        <v>3.6499999999999998E-2</v>
      </c>
      <c r="H49" s="118">
        <v>3.6499999999999998E-2</v>
      </c>
    </row>
    <row r="50" spans="1:8" x14ac:dyDescent="0.2">
      <c r="A50" s="219" t="s">
        <v>79</v>
      </c>
      <c r="B50" s="296" t="s">
        <v>80</v>
      </c>
      <c r="C50" s="296"/>
      <c r="D50" s="479"/>
      <c r="E50" s="55"/>
      <c r="F50" s="109">
        <v>0</v>
      </c>
      <c r="G50" s="109">
        <v>2.5000000000000001E-2</v>
      </c>
      <c r="H50" s="109">
        <v>0.05</v>
      </c>
    </row>
    <row r="51" spans="1:8" x14ac:dyDescent="0.2">
      <c r="A51" s="217" t="s">
        <v>81</v>
      </c>
      <c r="B51" s="297" t="s">
        <v>82</v>
      </c>
      <c r="C51" s="297"/>
      <c r="D51" s="480"/>
      <c r="E51" s="55"/>
      <c r="F51" s="118">
        <v>0</v>
      </c>
      <c r="G51" s="118">
        <v>4.4999999999999998E-2</v>
      </c>
      <c r="H51" s="118">
        <v>4.4999999999999998E-2</v>
      </c>
    </row>
    <row r="52" spans="1:8" x14ac:dyDescent="0.2">
      <c r="A52" s="110" t="s">
        <v>22</v>
      </c>
      <c r="B52" s="111" t="s">
        <v>83</v>
      </c>
      <c r="C52" s="110"/>
      <c r="D52" s="112">
        <f>ROUND((((1+D44+D45+D46)*(1+D47)*(1+D48)/(1-(D49+D50)))-1),4)</f>
        <v>0</v>
      </c>
      <c r="E52" s="104"/>
      <c r="F52" s="113">
        <f>VLOOKUP($A$40,VALOR_BDI,2,FALSE)</f>
        <v>0.111</v>
      </c>
      <c r="G52" s="113">
        <f>VLOOKUP($A$40,VALOR_BDI,3,FALSE)</f>
        <v>0.14019999999999999</v>
      </c>
      <c r="H52" s="113">
        <f>VLOOKUP($A$40,VALOR_BDI,4,FALSE)</f>
        <v>0.16800000000000001</v>
      </c>
    </row>
    <row r="53" spans="1:8" x14ac:dyDescent="0.2">
      <c r="A53" s="119" t="s">
        <v>22</v>
      </c>
      <c r="B53" s="120" t="s">
        <v>84</v>
      </c>
      <c r="C53" s="119"/>
      <c r="D53" s="121">
        <f>ROUND((((1+D44+D45+D46)*(1+D47)*(1+D48)/(1-(D49+D50+D51)))-1),4)</f>
        <v>0</v>
      </c>
      <c r="E53" s="104"/>
      <c r="F53" s="292"/>
      <c r="G53" s="292"/>
      <c r="H53" s="292"/>
    </row>
    <row r="54" spans="1:8" x14ac:dyDescent="0.2">
      <c r="A54" s="114" t="s">
        <v>298</v>
      </c>
      <c r="B54" s="8"/>
      <c r="C54" s="8"/>
      <c r="D54" s="218"/>
      <c r="E54" s="8"/>
      <c r="F54" s="308" t="s">
        <v>64</v>
      </c>
      <c r="G54" s="308"/>
      <c r="H54" s="308"/>
    </row>
    <row r="55" spans="1:8" x14ac:dyDescent="0.2">
      <c r="A55" s="114"/>
      <c r="B55" s="8"/>
      <c r="C55" s="8"/>
      <c r="D55" s="221"/>
      <c r="E55" s="8"/>
      <c r="F55" s="115"/>
      <c r="G55" s="115"/>
      <c r="H55" s="115"/>
    </row>
    <row r="56" spans="1:8" x14ac:dyDescent="0.2">
      <c r="A56" s="303" t="s">
        <v>85</v>
      </c>
      <c r="B56" s="303"/>
      <c r="C56" s="303"/>
      <c r="D56" s="303"/>
      <c r="E56" s="303"/>
      <c r="F56" s="303"/>
      <c r="G56" s="303"/>
      <c r="H56" s="303"/>
    </row>
    <row r="57" spans="1:8" x14ac:dyDescent="0.2">
      <c r="A57" s="8"/>
      <c r="B57" s="8"/>
      <c r="C57" s="8"/>
      <c r="D57" s="53"/>
      <c r="E57" s="8"/>
      <c r="F57" s="8"/>
      <c r="G57" s="8"/>
      <c r="H57" s="8"/>
    </row>
    <row r="58" spans="1:8" x14ac:dyDescent="0.2">
      <c r="A58" s="8"/>
      <c r="B58" s="8"/>
      <c r="C58" s="8"/>
      <c r="D58" s="53"/>
      <c r="E58" s="8"/>
      <c r="F58" s="8"/>
      <c r="G58" s="8"/>
      <c r="H58" s="8"/>
    </row>
    <row r="59" spans="1:8" x14ac:dyDescent="0.2">
      <c r="A59" s="8"/>
      <c r="B59" s="8"/>
      <c r="C59" s="8"/>
      <c r="D59" s="53"/>
      <c r="E59" s="8"/>
      <c r="F59" s="8"/>
      <c r="G59" s="8"/>
      <c r="H59" s="8"/>
    </row>
    <row r="60" spans="1:8" x14ac:dyDescent="0.2">
      <c r="A60" s="8"/>
      <c r="B60" s="8"/>
      <c r="C60" s="8"/>
      <c r="D60" s="53"/>
      <c r="E60" s="8"/>
      <c r="F60" s="8"/>
      <c r="G60" s="8"/>
      <c r="H60" s="8"/>
    </row>
    <row r="61" spans="1:8" ht="30" customHeight="1" x14ac:dyDescent="0.2">
      <c r="A61" s="304" t="str">
        <f>CONCATENATE("Declaramos para os devidos fins que, conforme legislação municipal, a base de cálculo deste tipo de obra corresponde à ",H14*100,"%, com a respectiva alíquota de ",H15*100,"%.")</f>
        <v>Declaramos para os devidos fins que, conforme legislação municipal, a base de cálculo deste tipo de obra corresponde à 100%, com a respectiva alíquota de 2%.</v>
      </c>
      <c r="B61" s="305"/>
      <c r="C61" s="305"/>
      <c r="D61" s="305"/>
      <c r="E61" s="305"/>
      <c r="F61" s="305"/>
      <c r="G61" s="305"/>
      <c r="H61" s="306"/>
    </row>
    <row r="63" spans="1:8" ht="30" customHeight="1" x14ac:dyDescent="0.2">
      <c r="A63" s="307" t="s">
        <v>86</v>
      </c>
      <c r="B63" s="305"/>
      <c r="C63" s="305"/>
      <c r="D63" s="305"/>
      <c r="E63" s="305"/>
      <c r="F63" s="305"/>
      <c r="G63" s="305"/>
      <c r="H63" s="306"/>
    </row>
    <row r="64" spans="1:8" x14ac:dyDescent="0.2">
      <c r="A64" s="8"/>
      <c r="B64" s="8"/>
      <c r="C64" s="8"/>
      <c r="D64" s="53"/>
      <c r="E64" s="8"/>
      <c r="F64" s="8"/>
      <c r="G64" s="8"/>
      <c r="H64" s="8"/>
    </row>
    <row r="65" spans="1:8" x14ac:dyDescent="0.2">
      <c r="A65" s="302" t="str">
        <f>'ANEXO II - Orçamento'!A68:K68</f>
        <v>São Carlos, 09 de fevereiro de 2026.</v>
      </c>
      <c r="B65" s="302"/>
      <c r="C65" s="302"/>
      <c r="D65" s="302"/>
      <c r="E65" s="302"/>
      <c r="F65" s="302"/>
      <c r="G65" s="302"/>
      <c r="H65" s="302"/>
    </row>
    <row r="66" spans="1:8" x14ac:dyDescent="0.2">
      <c r="A66" s="8"/>
      <c r="B66" s="8"/>
      <c r="C66" s="8"/>
      <c r="D66" s="53"/>
      <c r="E66" s="8"/>
      <c r="F66" s="8"/>
      <c r="G66" s="8"/>
      <c r="H66" s="8"/>
    </row>
    <row r="67" spans="1:8" x14ac:dyDescent="0.2">
      <c r="A67" s="8"/>
      <c r="B67" s="8"/>
      <c r="C67" s="8"/>
      <c r="D67" s="53"/>
      <c r="E67" s="8"/>
      <c r="F67" s="8"/>
      <c r="G67" s="8"/>
      <c r="H67" s="8"/>
    </row>
    <row r="68" spans="1:8" x14ac:dyDescent="0.2">
      <c r="A68" s="8"/>
      <c r="B68" s="8"/>
      <c r="C68" s="8"/>
      <c r="D68" s="53"/>
      <c r="E68" s="8"/>
      <c r="F68" s="8"/>
      <c r="G68" s="8"/>
      <c r="H68" s="8"/>
    </row>
    <row r="69" spans="1:8" x14ac:dyDescent="0.2">
      <c r="A69" s="8"/>
      <c r="B69" s="8"/>
      <c r="C69" s="8"/>
      <c r="D69" s="53"/>
      <c r="E69" s="8"/>
      <c r="F69" s="8"/>
      <c r="G69" s="8"/>
      <c r="H69" s="8"/>
    </row>
    <row r="70" spans="1:8" x14ac:dyDescent="0.2">
      <c r="A70" s="8"/>
      <c r="B70" s="8"/>
      <c r="C70" s="8"/>
      <c r="D70" s="53"/>
      <c r="E70" s="8"/>
      <c r="F70" s="8"/>
      <c r="G70" s="8"/>
      <c r="H70" s="8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</sheetData>
  <sheetProtection password="E8B5" sheet="1" formatCells="0" formatColumns="0" formatRows="0" insertColumns="0" insertRows="0" insertHyperlinks="0" deleteColumns="0" deleteRows="0" sort="0" autoFilter="0" pivotTables="0"/>
  <mergeCells count="44">
    <mergeCell ref="B31:C31"/>
    <mergeCell ref="A37:H37"/>
    <mergeCell ref="A65:H65"/>
    <mergeCell ref="A56:H56"/>
    <mergeCell ref="A61:H61"/>
    <mergeCell ref="A63:H63"/>
    <mergeCell ref="B32:C32"/>
    <mergeCell ref="F34:H34"/>
    <mergeCell ref="F35:H35"/>
    <mergeCell ref="F54:H54"/>
    <mergeCell ref="A21:H21"/>
    <mergeCell ref="A23:D23"/>
    <mergeCell ref="F23:H23"/>
    <mergeCell ref="B24:C24"/>
    <mergeCell ref="B30:C30"/>
    <mergeCell ref="B26:C26"/>
    <mergeCell ref="B27:C27"/>
    <mergeCell ref="B28:C28"/>
    <mergeCell ref="B29:C29"/>
    <mergeCell ref="B25:C25"/>
    <mergeCell ref="B1:H1"/>
    <mergeCell ref="A9:H9"/>
    <mergeCell ref="A12:F12"/>
    <mergeCell ref="A14:G14"/>
    <mergeCell ref="A15:G15"/>
    <mergeCell ref="A3:H3"/>
    <mergeCell ref="A5:H5"/>
    <mergeCell ref="A6:H6"/>
    <mergeCell ref="A18:H18"/>
    <mergeCell ref="F20:H20"/>
    <mergeCell ref="A40:H40"/>
    <mergeCell ref="F39:H39"/>
    <mergeCell ref="F53:H53"/>
    <mergeCell ref="A42:D42"/>
    <mergeCell ref="F42:H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</mergeCells>
  <conditionalFormatting sqref="D25:D32">
    <cfRule type="cellIs" dxfId="26" priority="6" operator="notBetween">
      <formula>$F25</formula>
      <formula>$H25</formula>
    </cfRule>
  </conditionalFormatting>
  <conditionalFormatting sqref="D33">
    <cfRule type="cellIs" dxfId="25" priority="7" operator="notBetween">
      <formula>$F$33</formula>
      <formula>$H33</formula>
    </cfRule>
  </conditionalFormatting>
  <conditionalFormatting sqref="A35:D36 A55:D55 A38:D38">
    <cfRule type="expression" dxfId="24" priority="8">
      <formula>OR($A$35="S E L E C I O N E   U M   B D I !",$A$35="S E L E C I O N E   A P E N A S   U M A   O P Ç Ã O   D E   B D I !")</formula>
    </cfRule>
  </conditionalFormatting>
  <conditionalFormatting sqref="D44:D51">
    <cfRule type="cellIs" dxfId="23" priority="1" operator="notBetween">
      <formula>$F44</formula>
      <formula>$H44</formula>
    </cfRule>
  </conditionalFormatting>
  <conditionalFormatting sqref="D52">
    <cfRule type="cellIs" dxfId="22" priority="2" operator="notBetween">
      <formula>$F$52</formula>
      <formula>$H$52</formula>
    </cfRule>
  </conditionalFormatting>
  <conditionalFormatting sqref="A54:D54">
    <cfRule type="expression" dxfId="21" priority="3">
      <formula>OR($A$35="S E L E C I O N E   U M   B D I !",$A$35="S E L E C I O N E   A P E N A S   U M A   O P Ç Ã O   D E   B D I !")</formula>
    </cfRule>
  </conditionalFormatting>
  <dataValidations disablePrompts="1" count="1">
    <dataValidation type="list" allowBlank="1" showInputMessage="1" showErrorMessage="1" sqref="A21 A40">
      <formula1>TIP_OBRA</formula1>
    </dataValidation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77" fitToHeight="0" orientation="portrait" r:id="rId1"/>
  <headerFooter>
    <oddHeader>&amp;A</oddHeader>
    <oddFooter>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macro="[3]!Clique1_BDI">
                <anchor moveWithCells="1">
                  <from>
                    <xdr:col>0</xdr:col>
                    <xdr:colOff>47625</xdr:colOff>
                    <xdr:row>32</xdr:row>
                    <xdr:rowOff>0</xdr:rowOff>
                  </from>
                  <to>
                    <xdr:col>0</xdr:col>
                    <xdr:colOff>314325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32</xdr:row>
                    <xdr:rowOff>180975</xdr:rowOff>
                  </from>
                  <to>
                    <xdr:col>0</xdr:col>
                    <xdr:colOff>314325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 macro="[3]!Clique1_BDI">
                <anchor moveWithCells="1">
                  <from>
                    <xdr:col>0</xdr:col>
                    <xdr:colOff>47625</xdr:colOff>
                    <xdr:row>51</xdr:row>
                    <xdr:rowOff>0</xdr:rowOff>
                  </from>
                  <to>
                    <xdr:col>0</xdr:col>
                    <xdr:colOff>314325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51</xdr:row>
                    <xdr:rowOff>142875</xdr:rowOff>
                  </from>
                  <to>
                    <xdr:col>0</xdr:col>
                    <xdr:colOff>314325</xdr:colOff>
                    <xdr:row>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Normal="100" zoomScaleSheetLayoutView="100" workbookViewId="0">
      <selection activeCell="B1" sqref="B1:H1"/>
    </sheetView>
  </sheetViews>
  <sheetFormatPr defaultRowHeight="12.75" x14ac:dyDescent="0.2"/>
  <cols>
    <col min="1" max="1" width="7.42578125" customWidth="1"/>
    <col min="2" max="2" width="48.7109375" customWidth="1"/>
    <col min="3" max="3" width="19.7109375" customWidth="1"/>
    <col min="4" max="5" width="21.85546875" customWidth="1"/>
    <col min="6" max="6" width="20.5703125" customWidth="1"/>
    <col min="7" max="7" width="23.7109375" customWidth="1"/>
    <col min="8" max="8" width="11.28515625" customWidth="1"/>
  </cols>
  <sheetData>
    <row r="1" spans="1:8" s="468" customFormat="1" ht="96" customHeight="1" thickBot="1" x14ac:dyDescent="0.25">
      <c r="A1" s="481"/>
      <c r="B1" s="482" t="s">
        <v>311</v>
      </c>
      <c r="C1" s="483"/>
      <c r="D1" s="483"/>
      <c r="E1" s="483"/>
      <c r="F1" s="483"/>
      <c r="G1" s="483"/>
      <c r="H1" s="483"/>
    </row>
    <row r="2" spans="1:8" s="468" customFormat="1" x14ac:dyDescent="0.2">
      <c r="A2" s="484"/>
      <c r="B2" s="484"/>
      <c r="C2" s="484"/>
      <c r="D2" s="484"/>
      <c r="E2" s="484"/>
      <c r="F2" s="484"/>
      <c r="G2" s="484"/>
      <c r="H2" s="484"/>
    </row>
    <row r="3" spans="1:8" s="468" customFormat="1" x14ac:dyDescent="0.2">
      <c r="A3" s="485" t="s">
        <v>295</v>
      </c>
      <c r="B3" s="485"/>
      <c r="C3" s="485"/>
      <c r="D3" s="486"/>
      <c r="E3" s="485"/>
      <c r="F3" s="485"/>
      <c r="G3" s="487" t="s">
        <v>43</v>
      </c>
      <c r="H3" s="487" t="s">
        <v>42</v>
      </c>
    </row>
    <row r="4" spans="1:8" s="468" customFormat="1" x14ac:dyDescent="0.2">
      <c r="A4" s="485"/>
      <c r="B4" s="485"/>
      <c r="C4" s="485"/>
      <c r="D4" s="486"/>
      <c r="E4" s="485"/>
      <c r="F4" s="485"/>
      <c r="G4" s="488"/>
      <c r="H4" s="488"/>
    </row>
    <row r="5" spans="1:8" s="468" customFormat="1" ht="28.5" customHeight="1" x14ac:dyDescent="0.2">
      <c r="A5" s="485"/>
      <c r="B5" s="485"/>
      <c r="C5" s="485"/>
      <c r="D5" s="486"/>
      <c r="E5" s="485"/>
      <c r="F5" s="485"/>
      <c r="G5" s="464">
        <f>'ANEXO II - Orçamento'!J12</f>
        <v>46023</v>
      </c>
      <c r="H5" s="465">
        <v>0</v>
      </c>
    </row>
    <row r="6" spans="1:8" ht="14.25" x14ac:dyDescent="0.2">
      <c r="A6" s="99"/>
      <c r="B6" s="27"/>
      <c r="C6" s="27"/>
      <c r="D6" s="27"/>
      <c r="E6" s="27"/>
      <c r="F6" s="27"/>
      <c r="G6" s="27"/>
      <c r="H6" s="27"/>
    </row>
    <row r="7" spans="1:8" x14ac:dyDescent="0.2">
      <c r="A7" s="326" t="s">
        <v>0</v>
      </c>
      <c r="B7" s="326" t="s">
        <v>2</v>
      </c>
      <c r="C7" s="328" t="s">
        <v>260</v>
      </c>
      <c r="D7" s="329"/>
      <c r="E7" s="328"/>
      <c r="F7" s="328"/>
      <c r="G7" s="326" t="s">
        <v>261</v>
      </c>
      <c r="H7" s="330" t="s">
        <v>4</v>
      </c>
    </row>
    <row r="8" spans="1:8" x14ac:dyDescent="0.2">
      <c r="A8" s="327"/>
      <c r="B8" s="327"/>
      <c r="C8" s="207" t="s">
        <v>262</v>
      </c>
      <c r="D8" s="207" t="s">
        <v>263</v>
      </c>
      <c r="E8" s="207" t="s">
        <v>263</v>
      </c>
      <c r="F8" s="207" t="s">
        <v>302</v>
      </c>
      <c r="G8" s="327"/>
      <c r="H8" s="331"/>
    </row>
    <row r="9" spans="1:8" x14ac:dyDescent="0.2">
      <c r="A9" s="318">
        <v>1</v>
      </c>
      <c r="B9" s="320" t="str">
        <f>'ANEXO II - Orçamento'!D15</f>
        <v>SERVIÇOS PRELIMINARES E CANTEIRO DE OBRAS</v>
      </c>
      <c r="C9" s="489">
        <f>IF(C10="","",C10*$G$9)</f>
        <v>0</v>
      </c>
      <c r="D9" s="489">
        <f>IF(D10="","",D10*$G$9)</f>
        <v>0</v>
      </c>
      <c r="E9" s="489">
        <f>IF(E10="","",E10*$G$9)</f>
        <v>0</v>
      </c>
      <c r="F9" s="489">
        <f>IF(F10="","",F10*$G$9)</f>
        <v>0</v>
      </c>
      <c r="G9" s="322">
        <f>'ANEXO II - Orçamento'!J15</f>
        <v>0</v>
      </c>
      <c r="H9" s="324" t="e">
        <f>G9/$G$18</f>
        <v>#DIV/0!</v>
      </c>
    </row>
    <row r="10" spans="1:8" x14ac:dyDescent="0.2">
      <c r="A10" s="319"/>
      <c r="B10" s="321"/>
      <c r="C10" s="490">
        <v>0.4</v>
      </c>
      <c r="D10" s="490">
        <v>0.25</v>
      </c>
      <c r="E10" s="490">
        <v>0.25</v>
      </c>
      <c r="F10" s="490">
        <v>0.1</v>
      </c>
      <c r="G10" s="323"/>
      <c r="H10" s="325"/>
    </row>
    <row r="11" spans="1:8" x14ac:dyDescent="0.2">
      <c r="A11" s="318">
        <v>2</v>
      </c>
      <c r="B11" s="320" t="str">
        <f>'ANEXO II - Orçamento'!D22</f>
        <v>TRAVESSIA SOB A RODOVIA SP-310</v>
      </c>
      <c r="C11" s="489" t="str">
        <f>IF(C12="","",C12*$G11)</f>
        <v/>
      </c>
      <c r="D11" s="489" t="str">
        <f>IF(D12="","",D12*$G11)</f>
        <v/>
      </c>
      <c r="E11" s="489">
        <f>IF(E12="","",E12*$G11)</f>
        <v>0</v>
      </c>
      <c r="F11" s="489">
        <f>IF(F12="","",F12*$G11)</f>
        <v>0</v>
      </c>
      <c r="G11" s="322">
        <f>'ANEXO II - Orçamento'!J22</f>
        <v>0</v>
      </c>
      <c r="H11" s="324" t="e">
        <f>G11/$G$18</f>
        <v>#DIV/0!</v>
      </c>
    </row>
    <row r="12" spans="1:8" x14ac:dyDescent="0.2">
      <c r="A12" s="319"/>
      <c r="B12" s="321"/>
      <c r="C12" s="490"/>
      <c r="D12" s="490"/>
      <c r="E12" s="490">
        <v>0.5</v>
      </c>
      <c r="F12" s="490">
        <v>0.5</v>
      </c>
      <c r="G12" s="323"/>
      <c r="H12" s="325"/>
    </row>
    <row r="13" spans="1:8" x14ac:dyDescent="0.2">
      <c r="A13" s="318">
        <v>3</v>
      </c>
      <c r="B13" s="320" t="str">
        <f>'ANEXO II - Orçamento'!D34</f>
        <v>CONSTRUÇÃO DO COLETOR</v>
      </c>
      <c r="C13" s="489"/>
      <c r="D13" s="489">
        <f>IF(D14="","",D14*$G13)</f>
        <v>0</v>
      </c>
      <c r="E13" s="489">
        <f>IF(E14="","",E14*$G13)</f>
        <v>0</v>
      </c>
      <c r="F13" s="489">
        <f>IF(F14="","",F14*$G13)</f>
        <v>0</v>
      </c>
      <c r="G13" s="322">
        <f>'ANEXO II - Orçamento'!J34</f>
        <v>0</v>
      </c>
      <c r="H13" s="324" t="e">
        <f>G13/$G$18</f>
        <v>#DIV/0!</v>
      </c>
    </row>
    <row r="14" spans="1:8" x14ac:dyDescent="0.2">
      <c r="A14" s="319"/>
      <c r="B14" s="321"/>
      <c r="C14" s="490">
        <v>0.3</v>
      </c>
      <c r="D14" s="490">
        <v>0.3</v>
      </c>
      <c r="E14" s="490">
        <v>0.3</v>
      </c>
      <c r="F14" s="490">
        <v>0.1</v>
      </c>
      <c r="G14" s="323"/>
      <c r="H14" s="325"/>
    </row>
    <row r="15" spans="1:8" x14ac:dyDescent="0.2">
      <c r="A15" s="318">
        <v>4</v>
      </c>
      <c r="B15" s="320" t="str">
        <f>'ANEXO II - Orçamento'!D60</f>
        <v>SERVIÇOS COMPLEMENTARES</v>
      </c>
      <c r="C15" s="489" t="str">
        <f>IF(C16="","",C16*$G15)</f>
        <v/>
      </c>
      <c r="D15" s="489" t="str">
        <f>IF(D16="","",D16*$G15)</f>
        <v/>
      </c>
      <c r="E15" s="489">
        <f>IF(E16="","",E16*$G15)</f>
        <v>0</v>
      </c>
      <c r="F15" s="489">
        <f>IF(F16="","",F16*$G15)</f>
        <v>0</v>
      </c>
      <c r="G15" s="322">
        <f>'ANEXO II - Orçamento'!J60</f>
        <v>0</v>
      </c>
      <c r="H15" s="324" t="e">
        <f>G15/$G$18</f>
        <v>#DIV/0!</v>
      </c>
    </row>
    <row r="16" spans="1:8" x14ac:dyDescent="0.2">
      <c r="A16" s="319"/>
      <c r="B16" s="321"/>
      <c r="C16" s="490"/>
      <c r="D16" s="490"/>
      <c r="E16" s="490">
        <v>0.5</v>
      </c>
      <c r="F16" s="490">
        <v>0.5</v>
      </c>
      <c r="G16" s="323"/>
      <c r="H16" s="325"/>
    </row>
    <row r="17" spans="1:8" x14ac:dyDescent="0.2">
      <c r="A17" s="99"/>
      <c r="B17" s="208"/>
      <c r="C17" s="209"/>
      <c r="D17" s="209"/>
      <c r="E17" s="209"/>
      <c r="F17" s="209"/>
      <c r="G17" s="210"/>
      <c r="H17" s="211"/>
    </row>
    <row r="18" spans="1:8" x14ac:dyDescent="0.2">
      <c r="A18" s="309" t="s">
        <v>264</v>
      </c>
      <c r="B18" s="309"/>
      <c r="C18" s="212">
        <f>SUM(C9,C11,C13,C15)</f>
        <v>0</v>
      </c>
      <c r="D18" s="212">
        <f>SUM(D9,D11,D13,D15)</f>
        <v>0</v>
      </c>
      <c r="E18" s="212">
        <f>SUM(E9,E11,E13,E15)</f>
        <v>0</v>
      </c>
      <c r="F18" s="212">
        <f>SUM(F9,F11,F13,F15)</f>
        <v>0</v>
      </c>
      <c r="G18" s="311">
        <f>SUM(G9:G16)</f>
        <v>0</v>
      </c>
      <c r="H18" s="313" t="e">
        <f>SUM(H9:H16)</f>
        <v>#DIV/0!</v>
      </c>
    </row>
    <row r="19" spans="1:8" x14ac:dyDescent="0.2">
      <c r="A19" s="310"/>
      <c r="B19" s="310"/>
      <c r="C19" s="213" t="e">
        <f>C18/$G$18</f>
        <v>#DIV/0!</v>
      </c>
      <c r="D19" s="213" t="e">
        <f>D18/$G$18</f>
        <v>#DIV/0!</v>
      </c>
      <c r="E19" s="213" t="e">
        <f>E18/$G$18</f>
        <v>#DIV/0!</v>
      </c>
      <c r="F19" s="213" t="e">
        <f>F18/$G$18</f>
        <v>#DIV/0!</v>
      </c>
      <c r="G19" s="312"/>
      <c r="H19" s="310"/>
    </row>
    <row r="20" spans="1:8" x14ac:dyDescent="0.2">
      <c r="A20" s="314" t="s">
        <v>265</v>
      </c>
      <c r="B20" s="314"/>
      <c r="C20" s="214">
        <f>C18</f>
        <v>0</v>
      </c>
      <c r="D20" s="214">
        <f>C20+D18</f>
        <v>0</v>
      </c>
      <c r="E20" s="214">
        <f>D20+E18</f>
        <v>0</v>
      </c>
      <c r="F20" s="214">
        <f t="shared" ref="F20" si="0">E20+F18</f>
        <v>0</v>
      </c>
      <c r="G20" s="316" t="str">
        <f>IF(G18=F20,"","ERRO")</f>
        <v/>
      </c>
      <c r="H20" s="314"/>
    </row>
    <row r="21" spans="1:8" x14ac:dyDescent="0.2">
      <c r="A21" s="315"/>
      <c r="B21" s="315"/>
      <c r="C21" s="215" t="e">
        <f>C20/$G$18</f>
        <v>#DIV/0!</v>
      </c>
      <c r="D21" s="215" t="e">
        <f>D20/$G$18</f>
        <v>#DIV/0!</v>
      </c>
      <c r="E21" s="215" t="e">
        <f>E20/$G$18</f>
        <v>#DIV/0!</v>
      </c>
      <c r="F21" s="215" t="e">
        <f>F20/$G$18</f>
        <v>#DIV/0!</v>
      </c>
      <c r="G21" s="317"/>
      <c r="H21" s="315"/>
    </row>
    <row r="22" spans="1:8" x14ac:dyDescent="0.2">
      <c r="A22" s="216"/>
      <c r="B22" s="216"/>
      <c r="C22" s="216"/>
      <c r="D22" s="216"/>
      <c r="E22" s="216"/>
      <c r="F22" s="216"/>
      <c r="G22" s="216"/>
      <c r="H22" s="216"/>
    </row>
    <row r="23" spans="1:8" x14ac:dyDescent="0.2">
      <c r="A23" s="278" t="str">
        <f>'ANEXO II - Orçamento'!A68:K68</f>
        <v>São Carlos, 09 de fevereiro de 2026.</v>
      </c>
      <c r="B23" s="278"/>
      <c r="C23" s="278"/>
      <c r="D23" s="278"/>
      <c r="E23" s="278"/>
      <c r="F23" s="278"/>
      <c r="G23" s="278"/>
      <c r="H23" s="278"/>
    </row>
    <row r="24" spans="1:8" x14ac:dyDescent="0.2">
      <c r="A24" s="216"/>
      <c r="B24" s="216"/>
      <c r="C24" s="216"/>
      <c r="D24" s="216"/>
      <c r="E24" s="216"/>
      <c r="F24" s="216"/>
      <c r="G24" s="216"/>
      <c r="H24" s="216"/>
    </row>
  </sheetData>
  <sheetProtection password="E8B5" sheet="1" formatCells="0" formatColumns="0" formatRows="0" insertColumns="0" insertRows="0" insertHyperlinks="0" deleteColumns="0" deleteRows="0" sort="0" autoFilter="0" pivotTables="0"/>
  <mergeCells count="33">
    <mergeCell ref="A7:A8"/>
    <mergeCell ref="B7:B8"/>
    <mergeCell ref="C7:F7"/>
    <mergeCell ref="G7:G8"/>
    <mergeCell ref="H7:H8"/>
    <mergeCell ref="B1:H1"/>
    <mergeCell ref="A2:H2"/>
    <mergeCell ref="A3:F5"/>
    <mergeCell ref="G3:G4"/>
    <mergeCell ref="H3:H4"/>
    <mergeCell ref="A9:A10"/>
    <mergeCell ref="B9:B10"/>
    <mergeCell ref="G9:G10"/>
    <mergeCell ref="H9:H10"/>
    <mergeCell ref="A11:A12"/>
    <mergeCell ref="B11:B12"/>
    <mergeCell ref="G11:G12"/>
    <mergeCell ref="H11:H12"/>
    <mergeCell ref="A13:A14"/>
    <mergeCell ref="B13:B14"/>
    <mergeCell ref="G13:G14"/>
    <mergeCell ref="H13:H14"/>
    <mergeCell ref="A15:A16"/>
    <mergeCell ref="B15:B16"/>
    <mergeCell ref="G15:G16"/>
    <mergeCell ref="H15:H16"/>
    <mergeCell ref="A23:H23"/>
    <mergeCell ref="A18:B19"/>
    <mergeCell ref="G18:G19"/>
    <mergeCell ref="H18:H19"/>
    <mergeCell ref="A20:B21"/>
    <mergeCell ref="G20:G21"/>
    <mergeCell ref="H20:H21"/>
  </mergeCells>
  <conditionalFormatting sqref="C9 C11 C13 E13:F13 E11:F11 E9:F9">
    <cfRule type="notContainsBlanks" dxfId="20" priority="4">
      <formula>LEN(TRIM(C9))&gt;0</formula>
    </cfRule>
  </conditionalFormatting>
  <conditionalFormatting sqref="C15 E15:F15">
    <cfRule type="notContainsBlanks" dxfId="19" priority="3">
      <formula>LEN(TRIM(C15))&gt;0</formula>
    </cfRule>
  </conditionalFormatting>
  <conditionalFormatting sqref="D13 D11 D9">
    <cfRule type="notContainsBlanks" dxfId="18" priority="2">
      <formula>LEN(TRIM(D9))&gt;0</formula>
    </cfRule>
  </conditionalFormatting>
  <conditionalFormatting sqref="D15">
    <cfRule type="notContainsBlanks" dxfId="17" priority="1">
      <formula>LEN(TRIM(D15))&gt;0</formula>
    </cfRule>
  </conditionalFormatting>
  <pageMargins left="0.511811024" right="0.511811024" top="0.78740157499999996" bottom="0.78740157499999996" header="0.31496062000000002" footer="0.31496062000000002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view="pageBreakPreview" zoomScaleNormal="110" zoomScaleSheetLayoutView="100" workbookViewId="0">
      <pane ySplit="8" topLeftCell="A33" activePane="bottomLeft" state="frozen"/>
      <selection pane="bottomLeft" activeCell="H37" sqref="H37:H38"/>
    </sheetView>
  </sheetViews>
  <sheetFormatPr defaultRowHeight="12.75" x14ac:dyDescent="0.2"/>
  <cols>
    <col min="1" max="18" width="12.7109375" style="176" customWidth="1"/>
    <col min="19" max="19" width="3" style="175" customWidth="1"/>
    <col min="20" max="21" width="12" style="175" customWidth="1"/>
    <col min="22" max="24" width="13.42578125" style="175" customWidth="1"/>
    <col min="25" max="25" width="13.42578125" style="175" bestFit="1" customWidth="1"/>
    <col min="26" max="26" width="11.7109375" style="175" bestFit="1" customWidth="1"/>
    <col min="27" max="29" width="15.140625" style="175" bestFit="1" customWidth="1"/>
    <col min="30" max="30" width="18.28515625" style="175" customWidth="1"/>
    <col min="31" max="35" width="14.7109375" style="175" customWidth="1"/>
    <col min="36" max="16384" width="9.140625" style="175"/>
  </cols>
  <sheetData>
    <row r="1" spans="1:35" x14ac:dyDescent="0.2">
      <c r="A1" s="363" t="s">
        <v>312</v>
      </c>
      <c r="B1" s="364"/>
      <c r="C1" s="364"/>
      <c r="D1" s="364"/>
      <c r="E1" s="364"/>
      <c r="F1" s="364"/>
      <c r="G1" s="365"/>
      <c r="H1" s="369" t="s">
        <v>176</v>
      </c>
      <c r="I1" s="370"/>
      <c r="J1" s="370"/>
      <c r="K1" s="370"/>
      <c r="L1" s="370"/>
      <c r="M1" s="370"/>
      <c r="N1" s="370"/>
      <c r="O1" s="370"/>
      <c r="P1" s="371" t="s">
        <v>139</v>
      </c>
      <c r="Q1" s="371"/>
      <c r="R1" s="177">
        <v>0.01</v>
      </c>
      <c r="T1" s="230" t="s">
        <v>313</v>
      </c>
      <c r="Y1" s="175" t="s">
        <v>227</v>
      </c>
      <c r="Z1" s="162">
        <v>0.1</v>
      </c>
      <c r="AA1" s="175" t="s">
        <v>229</v>
      </c>
    </row>
    <row r="2" spans="1:35" ht="13.5" thickBot="1" x14ac:dyDescent="0.25">
      <c r="A2" s="366"/>
      <c r="B2" s="367"/>
      <c r="C2" s="367"/>
      <c r="D2" s="367"/>
      <c r="E2" s="367"/>
      <c r="F2" s="367"/>
      <c r="G2" s="368"/>
      <c r="H2" s="372" t="s">
        <v>140</v>
      </c>
      <c r="I2" s="373"/>
      <c r="J2" s="374" t="s">
        <v>272</v>
      </c>
      <c r="K2" s="374"/>
      <c r="L2" s="374"/>
      <c r="M2" s="374"/>
      <c r="N2" s="374"/>
      <c r="O2" s="374"/>
      <c r="P2" s="375" t="s">
        <v>141</v>
      </c>
      <c r="Q2" s="375"/>
      <c r="R2" s="190">
        <v>45861</v>
      </c>
      <c r="T2" s="175" t="s">
        <v>297</v>
      </c>
      <c r="Y2" s="175" t="s">
        <v>228</v>
      </c>
      <c r="Z2" s="162">
        <v>0.3</v>
      </c>
      <c r="AA2" s="175" t="s">
        <v>229</v>
      </c>
    </row>
    <row r="3" spans="1:35" ht="13.5" thickBot="1" x14ac:dyDescent="0.25">
      <c r="A3" s="386" t="s">
        <v>142</v>
      </c>
      <c r="B3" s="387"/>
      <c r="C3" s="387"/>
      <c r="D3" s="387"/>
      <c r="E3" s="387"/>
      <c r="F3" s="387"/>
      <c r="G3" s="388"/>
      <c r="H3" s="389" t="s">
        <v>143</v>
      </c>
      <c r="I3" s="390"/>
      <c r="J3" s="391" t="s">
        <v>177</v>
      </c>
      <c r="K3" s="391"/>
      <c r="L3" s="391"/>
      <c r="M3" s="391"/>
      <c r="N3" s="391"/>
      <c r="O3" s="391"/>
      <c r="P3" s="392" t="s">
        <v>178</v>
      </c>
      <c r="Q3" s="392"/>
      <c r="R3" s="191" t="s">
        <v>35</v>
      </c>
      <c r="T3" s="344" t="s">
        <v>296</v>
      </c>
      <c r="U3" s="344"/>
      <c r="V3" s="344"/>
      <c r="W3" s="344"/>
      <c r="X3" s="344"/>
      <c r="Y3" s="175" t="s">
        <v>204</v>
      </c>
      <c r="Z3" s="162">
        <v>0.8</v>
      </c>
      <c r="AA3" s="175" t="s">
        <v>229</v>
      </c>
      <c r="AB3" s="175" t="s">
        <v>289</v>
      </c>
      <c r="AD3" s="225">
        <v>0.6</v>
      </c>
      <c r="AE3" s="175" t="s">
        <v>229</v>
      </c>
    </row>
    <row r="4" spans="1:35" ht="13.5" customHeight="1" thickBot="1" x14ac:dyDescent="0.25">
      <c r="A4" s="393" t="s">
        <v>144</v>
      </c>
      <c r="B4" s="396" t="s">
        <v>145</v>
      </c>
      <c r="C4" s="396" t="s">
        <v>146</v>
      </c>
      <c r="D4" s="396" t="s">
        <v>198</v>
      </c>
      <c r="E4" s="396" t="s">
        <v>147</v>
      </c>
      <c r="F4" s="396" t="s">
        <v>148</v>
      </c>
      <c r="G4" s="396" t="s">
        <v>149</v>
      </c>
      <c r="H4" s="396" t="s">
        <v>150</v>
      </c>
      <c r="I4" s="396" t="s">
        <v>151</v>
      </c>
      <c r="J4" s="180" t="s">
        <v>152</v>
      </c>
      <c r="K4" s="180" t="s">
        <v>152</v>
      </c>
      <c r="L4" s="180" t="s">
        <v>153</v>
      </c>
      <c r="M4" s="180" t="s">
        <v>154</v>
      </c>
      <c r="N4" s="396" t="s">
        <v>155</v>
      </c>
      <c r="O4" s="180"/>
      <c r="P4" s="396" t="s">
        <v>156</v>
      </c>
      <c r="Q4" s="396" t="s">
        <v>157</v>
      </c>
      <c r="R4" s="396" t="s">
        <v>158</v>
      </c>
      <c r="S4" s="194"/>
      <c r="T4" s="405" t="s">
        <v>144</v>
      </c>
      <c r="U4" s="396" t="s">
        <v>145</v>
      </c>
      <c r="V4" s="180" t="s">
        <v>152</v>
      </c>
      <c r="W4" s="180" t="s">
        <v>152</v>
      </c>
      <c r="X4" s="264" t="s">
        <v>153</v>
      </c>
      <c r="Y4" s="419" t="s">
        <v>200</v>
      </c>
      <c r="Z4" s="421"/>
      <c r="AA4" s="421"/>
      <c r="AB4" s="421"/>
      <c r="AC4" s="420"/>
      <c r="AD4" s="276" t="s">
        <v>223</v>
      </c>
      <c r="AE4" s="419" t="s">
        <v>207</v>
      </c>
      <c r="AF4" s="421"/>
      <c r="AG4" s="420"/>
      <c r="AH4" s="419" t="s">
        <v>237</v>
      </c>
      <c r="AI4" s="420"/>
    </row>
    <row r="5" spans="1:35" ht="14.25" thickTop="1" thickBot="1" x14ac:dyDescent="0.25">
      <c r="A5" s="394"/>
      <c r="B5" s="397"/>
      <c r="C5" s="397"/>
      <c r="D5" s="397"/>
      <c r="E5" s="397"/>
      <c r="F5" s="397"/>
      <c r="G5" s="397"/>
      <c r="H5" s="397"/>
      <c r="I5" s="397"/>
      <c r="J5" s="178" t="s">
        <v>159</v>
      </c>
      <c r="K5" s="178" t="s">
        <v>160</v>
      </c>
      <c r="L5" s="178" t="s">
        <v>161</v>
      </c>
      <c r="M5" s="178" t="s">
        <v>162</v>
      </c>
      <c r="N5" s="397"/>
      <c r="O5" s="178" t="s">
        <v>163</v>
      </c>
      <c r="P5" s="404"/>
      <c r="Q5" s="404"/>
      <c r="R5" s="397"/>
      <c r="S5" s="194"/>
      <c r="T5" s="406"/>
      <c r="U5" s="397"/>
      <c r="V5" s="265" t="s">
        <v>159</v>
      </c>
      <c r="W5" s="265" t="s">
        <v>160</v>
      </c>
      <c r="X5" s="266" t="s">
        <v>161</v>
      </c>
      <c r="Y5" s="417" t="s">
        <v>199</v>
      </c>
      <c r="Z5" s="344" t="s">
        <v>203</v>
      </c>
      <c r="AA5" s="344" t="s">
        <v>202</v>
      </c>
      <c r="AB5" s="344" t="s">
        <v>205</v>
      </c>
      <c r="AC5" s="346" t="s">
        <v>206</v>
      </c>
      <c r="AD5" s="346" t="s">
        <v>202</v>
      </c>
      <c r="AE5" s="417" t="s">
        <v>209</v>
      </c>
      <c r="AF5" s="344" t="s">
        <v>208</v>
      </c>
      <c r="AG5" s="346" t="s">
        <v>211</v>
      </c>
      <c r="AH5" s="417" t="s">
        <v>238</v>
      </c>
      <c r="AI5" s="346" t="s">
        <v>239</v>
      </c>
    </row>
    <row r="6" spans="1:35" ht="14.25" thickTop="1" thickBot="1" x14ac:dyDescent="0.25">
      <c r="A6" s="394"/>
      <c r="B6" s="397"/>
      <c r="C6" s="178" t="s">
        <v>164</v>
      </c>
      <c r="D6" s="178" t="s">
        <v>165</v>
      </c>
      <c r="E6" s="178" t="s">
        <v>165</v>
      </c>
      <c r="F6" s="178" t="s">
        <v>165</v>
      </c>
      <c r="G6" s="178" t="s">
        <v>165</v>
      </c>
      <c r="H6" s="397"/>
      <c r="I6" s="397"/>
      <c r="J6" s="178" t="s">
        <v>166</v>
      </c>
      <c r="K6" s="178" t="s">
        <v>166</v>
      </c>
      <c r="L6" s="178" t="s">
        <v>166</v>
      </c>
      <c r="M6" s="178" t="s">
        <v>167</v>
      </c>
      <c r="N6" s="397"/>
      <c r="O6" s="178" t="s">
        <v>168</v>
      </c>
      <c r="P6" s="404"/>
      <c r="Q6" s="404"/>
      <c r="R6" s="397"/>
      <c r="S6" s="194"/>
      <c r="T6" s="406"/>
      <c r="U6" s="397"/>
      <c r="V6" s="265" t="s">
        <v>166</v>
      </c>
      <c r="W6" s="265" t="s">
        <v>166</v>
      </c>
      <c r="X6" s="266" t="s">
        <v>166</v>
      </c>
      <c r="Y6" s="418"/>
      <c r="Z6" s="345"/>
      <c r="AA6" s="345"/>
      <c r="AB6" s="345"/>
      <c r="AC6" s="347"/>
      <c r="AD6" s="347"/>
      <c r="AE6" s="418"/>
      <c r="AF6" s="345"/>
      <c r="AG6" s="347"/>
      <c r="AH6" s="418"/>
      <c r="AI6" s="347"/>
    </row>
    <row r="7" spans="1:35" ht="13.5" thickTop="1" x14ac:dyDescent="0.2">
      <c r="A7" s="394"/>
      <c r="B7" s="178" t="s">
        <v>166</v>
      </c>
      <c r="C7" s="179" t="s">
        <v>169</v>
      </c>
      <c r="D7" s="179" t="s">
        <v>169</v>
      </c>
      <c r="E7" s="179" t="s">
        <v>169</v>
      </c>
      <c r="F7" s="179" t="s">
        <v>169</v>
      </c>
      <c r="G7" s="179" t="s">
        <v>169</v>
      </c>
      <c r="H7" s="178" t="s">
        <v>170</v>
      </c>
      <c r="I7" s="178" t="s">
        <v>171</v>
      </c>
      <c r="J7" s="179" t="s">
        <v>172</v>
      </c>
      <c r="K7" s="179" t="s">
        <v>172</v>
      </c>
      <c r="L7" s="179" t="s">
        <v>172</v>
      </c>
      <c r="M7" s="179" t="s">
        <v>169</v>
      </c>
      <c r="N7" s="397"/>
      <c r="O7" s="179" t="s">
        <v>169</v>
      </c>
      <c r="P7" s="178" t="s">
        <v>173</v>
      </c>
      <c r="Q7" s="178" t="s">
        <v>168</v>
      </c>
      <c r="R7" s="178" t="s">
        <v>171</v>
      </c>
      <c r="S7" s="194"/>
      <c r="T7" s="406"/>
      <c r="U7" s="265" t="s">
        <v>166</v>
      </c>
      <c r="V7" s="267" t="s">
        <v>172</v>
      </c>
      <c r="W7" s="267" t="s">
        <v>172</v>
      </c>
      <c r="X7" s="268" t="s">
        <v>172</v>
      </c>
      <c r="Y7" s="418"/>
      <c r="Z7" s="345"/>
      <c r="AA7" s="345"/>
      <c r="AB7" s="345"/>
      <c r="AC7" s="347"/>
      <c r="AD7" s="347"/>
      <c r="AE7" s="418"/>
      <c r="AF7" s="345"/>
      <c r="AG7" s="347"/>
      <c r="AH7" s="418"/>
      <c r="AI7" s="347"/>
    </row>
    <row r="8" spans="1:35" ht="13.5" thickBot="1" x14ac:dyDescent="0.25">
      <c r="A8" s="395"/>
      <c r="B8" s="181"/>
      <c r="C8" s="182" t="s">
        <v>174</v>
      </c>
      <c r="D8" s="182" t="s">
        <v>174</v>
      </c>
      <c r="E8" s="182" t="s">
        <v>174</v>
      </c>
      <c r="F8" s="182" t="s">
        <v>174</v>
      </c>
      <c r="G8" s="182" t="s">
        <v>174</v>
      </c>
      <c r="H8" s="181"/>
      <c r="I8" s="181"/>
      <c r="J8" s="182" t="s">
        <v>175</v>
      </c>
      <c r="K8" s="182" t="s">
        <v>175</v>
      </c>
      <c r="L8" s="182" t="s">
        <v>175</v>
      </c>
      <c r="M8" s="182" t="s">
        <v>174</v>
      </c>
      <c r="N8" s="181" t="s">
        <v>166</v>
      </c>
      <c r="O8" s="182" t="s">
        <v>174</v>
      </c>
      <c r="P8" s="181"/>
      <c r="Q8" s="181"/>
      <c r="R8" s="181"/>
      <c r="S8" s="195"/>
      <c r="T8" s="407"/>
      <c r="U8" s="181"/>
      <c r="V8" s="182" t="s">
        <v>175</v>
      </c>
      <c r="W8" s="182" t="s">
        <v>175</v>
      </c>
      <c r="X8" s="269" t="s">
        <v>175</v>
      </c>
      <c r="Y8" s="232" t="s">
        <v>166</v>
      </c>
      <c r="Z8" s="196" t="s">
        <v>201</v>
      </c>
      <c r="AA8" s="196" t="s">
        <v>201</v>
      </c>
      <c r="AB8" s="196" t="s">
        <v>201</v>
      </c>
      <c r="AC8" s="233" t="s">
        <v>201</v>
      </c>
      <c r="AD8" s="233" t="s">
        <v>224</v>
      </c>
      <c r="AE8" s="232" t="s">
        <v>210</v>
      </c>
      <c r="AF8" s="196" t="s">
        <v>166</v>
      </c>
      <c r="AG8" s="233" t="s">
        <v>166</v>
      </c>
      <c r="AH8" s="232" t="s">
        <v>201</v>
      </c>
      <c r="AI8" s="233" t="s">
        <v>201</v>
      </c>
    </row>
    <row r="9" spans="1:35" x14ac:dyDescent="0.2">
      <c r="A9" s="380" t="s">
        <v>230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2"/>
      <c r="T9" s="408" t="str">
        <f>A9</f>
        <v>TRAVESSIA SP-310</v>
      </c>
      <c r="U9" s="409"/>
      <c r="V9" s="409"/>
      <c r="W9" s="409"/>
      <c r="X9" s="409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1"/>
    </row>
    <row r="10" spans="1:35" ht="13.5" thickBot="1" x14ac:dyDescent="0.25">
      <c r="A10" s="383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5"/>
      <c r="T10" s="412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1"/>
    </row>
    <row r="11" spans="1:35" x14ac:dyDescent="0.2">
      <c r="A11" s="376" t="s">
        <v>273</v>
      </c>
      <c r="B11" s="377">
        <v>84.04</v>
      </c>
      <c r="C11" s="188">
        <v>0.5</v>
      </c>
      <c r="D11" s="188">
        <f t="shared" ref="D11" si="0">IF(A11&lt;&gt;"",(C11/1000)*B11,"")</f>
        <v>4.2020000000000002E-2</v>
      </c>
      <c r="E11" s="188">
        <v>145</v>
      </c>
      <c r="F11" s="188">
        <f t="shared" ref="F11:F56" si="1">E11+D11</f>
        <v>145.04202000000001</v>
      </c>
      <c r="G11" s="188">
        <f t="shared" ref="G11:G12" si="2">IF(F11&lt;1.5,1.5,F11)</f>
        <v>145.04202000000001</v>
      </c>
      <c r="H11" s="378">
        <v>350</v>
      </c>
      <c r="I11" s="340">
        <f t="shared" ref="I11" si="3">IF(A11&lt;&gt;"",(K11-K12)/B11,"")</f>
        <v>7.1394574012377757E-3</v>
      </c>
      <c r="J11" s="189">
        <v>838.65</v>
      </c>
      <c r="K11" s="189">
        <v>835.37</v>
      </c>
      <c r="L11" s="189">
        <f t="shared" ref="L11" si="4">IF(A11&lt;&gt;"",J11-K11,"")</f>
        <v>3.2799999999999727</v>
      </c>
      <c r="M11" s="189">
        <f t="shared" ref="M11" si="5">IF(A11&lt;&gt;"",IF((1.14*((G11*$R$1/1000)^0.482)/(((H11/1000)^1.285)*(I11^0.241)))&lt;0.3,(1.14*((G11*$R$1/1000)^0.482)/(((H11/1000)^1.285)*(I11^0.241))),(1.97107*((G11*$R$1/1000)/(((H11/1000)^(8/3))*(I11^0.5)))+0.19066)),"")</f>
        <v>0.74679705477176173</v>
      </c>
      <c r="N11" s="362">
        <f>L12+0.6</f>
        <v>1.9100000000000592</v>
      </c>
      <c r="O11" s="189">
        <f>IF(A11&lt;&gt;"",76.923*(((H11/4000)*(1-(SIN(2*(-ATAN((1-2*M11)/SQRT(-(1-2*M11)*(1-2*M11)+1))+1.5708)))/(2*(-ATAN((1-2*M11)/SQRT(-(1-2*M11)*(1-2*M11)+1))+1.5708))))^0.167)*SQRT(((H11/4000)*(1-(SIN(2*(-ATAN((1-2*M11)/SQRT(-(1-2*M11)*(1-2*M11)+1))+1.5708)))/(2*(-ATAN((1-2*M11)/SQRT(-(1-2*M11)*(1-2*M11)+1))+1.5708))))*I11),"")</f>
        <v>1.450080709326345</v>
      </c>
      <c r="P11" s="379">
        <f t="shared" ref="P11" si="6">IF(A11&lt;&gt;"",10000*I11*(H11/4000)*(1-(SIN(2*(-ATAN((1-2*M12)/SQRT(-(1-2*M12)*(1-2*M12)+1))+1.5708)))/(2*(-ATAN((1-2*M12)/SQRT(-(1-2*M12)*(1-2*M12)+1))+1.5708))),"")</f>
        <v>7.532310852412011</v>
      </c>
      <c r="Q11" s="362">
        <f>IF(A11&lt;&gt;"",6*SQRT(9.8*((H11/4000)*(1-(SIN(2*(-ATAN((1-2*M12)/SQRT(-(1-2*M12)*(1-2*M12)+1))+1.5708)))/(2*(-ATAN((1-2*M12)/SQRT(-(1-2*M12)*(1-2*M12)+1))+1.5708))))),"")</f>
        <v>6.1009266310419505</v>
      </c>
      <c r="R11" s="340">
        <f>IF(A11&lt;&gt;"",0.0055*(IF(E11&gt;1.5,E11,1.5))^(-0.47),"")</f>
        <v>5.3029768160760802E-4</v>
      </c>
      <c r="T11" s="415" t="str">
        <f>A11</f>
        <v>21-22</v>
      </c>
      <c r="U11" s="423">
        <f>B11</f>
        <v>84.04</v>
      </c>
      <c r="V11" s="258">
        <f>J11</f>
        <v>838.65</v>
      </c>
      <c r="W11" s="258">
        <f t="shared" ref="W11:X12" si="7">K11</f>
        <v>835.37</v>
      </c>
      <c r="X11" s="259">
        <f t="shared" si="7"/>
        <v>3.2799999999999727</v>
      </c>
      <c r="Y11" s="234">
        <f>AVERAGE(L11:L12)</f>
        <v>2.2950000000000159</v>
      </c>
      <c r="Z11" s="256" t="str">
        <f>IF(Y11&lt;=1.5,Y11*B11*SUM($Z$1:$Z$3),"")</f>
        <v/>
      </c>
      <c r="AA11" s="256">
        <f>IF(AND(Y11&gt;1.5,Y11&lt;=3),Y11*B11*$Z$3,"")</f>
        <v>154.29744000000107</v>
      </c>
      <c r="AB11" s="256" t="str">
        <f>IF(AND(Y11&gt;3,Y11&lt;=4.5),Y11*B11*$Z$3,"")</f>
        <v/>
      </c>
      <c r="AC11" s="240" t="str">
        <f>IF(AND(Y11&gt;4.5,Y11&lt;=6),Y11*B11*$Z$3,"")</f>
        <v/>
      </c>
      <c r="AD11" s="251">
        <f>IF(AA11&lt;&gt;"",AVERAGE(L11:L12)*B11*2,"")</f>
        <v>385.74360000000269</v>
      </c>
      <c r="AE11" s="234">
        <f>IF(Y11&lt;&gt;"",1,"")</f>
        <v>1</v>
      </c>
      <c r="AF11" s="235">
        <f>IF(Y11&lt;&gt;"",0.5,"")</f>
        <v>0.5</v>
      </c>
      <c r="AG11" s="236">
        <f>IF(Y11&gt;1.85,Y11-1.85,"")</f>
        <v>0.44500000000001583</v>
      </c>
      <c r="AH11" s="234"/>
      <c r="AI11" s="240"/>
    </row>
    <row r="12" spans="1:35" ht="13.5" thickBot="1" x14ac:dyDescent="0.25">
      <c r="A12" s="334"/>
      <c r="B12" s="349"/>
      <c r="C12" s="184">
        <v>0.5</v>
      </c>
      <c r="D12" s="184">
        <f t="shared" ref="D12" si="8">IF(A11&lt;&gt;"",(C12/1000)*B11,"")</f>
        <v>4.2020000000000002E-2</v>
      </c>
      <c r="E12" s="184">
        <f>F11</f>
        <v>145.04202000000001</v>
      </c>
      <c r="F12" s="184">
        <f t="shared" ref="F12" si="9">E12+D12</f>
        <v>145.08404000000002</v>
      </c>
      <c r="G12" s="184">
        <f t="shared" si="2"/>
        <v>145.08404000000002</v>
      </c>
      <c r="H12" s="350"/>
      <c r="I12" s="350"/>
      <c r="J12" s="186">
        <v>836.08</v>
      </c>
      <c r="K12" s="186">
        <v>834.77</v>
      </c>
      <c r="L12" s="186">
        <f t="shared" ref="L12" si="10">IF(A11&lt;&gt;"",J12-K12,"")</f>
        <v>1.3100000000000591</v>
      </c>
      <c r="M12" s="186">
        <f t="shared" ref="M12" si="11">IF(A11&lt;&gt;"",IF((1.14*((G12*$R$1/1000)^0.482)/(((H11/1000)^1.285)*(I11^0.241)))&lt;0.3,(1.14*((G12*$R$1/1000)^0.482)/(((H11/1000)^1.285)*(I11^0.241))),(1.97107*((G12*$R$1/1000)/(((H11/1000)^(8/3))*(I11^0.5)))+0.19066)),"")</f>
        <v>0.7469581727639234</v>
      </c>
      <c r="N12" s="348"/>
      <c r="O12" s="186">
        <f>IF(A11&lt;&gt;"",76.923*(((H11/4000)*(1-(SIN(2*(-ATAN((1-2*M12)/SQRT(-(1-2*M12)*(1-2*M12)+1))+1.5708)))/(2*(-ATAN((1-2*M12)/SQRT(-(1-2*M12)*(1-2*M12)+1))+1.5708))))^0.167)*SQRT(((H11/4000)*(1-(SIN(2*(-ATAN((1-2*M12)/SQRT(-(1-2*M12)*(1-2*M12)+1))+1.5708)))/(2*(-ATAN((1-2*M12)/SQRT(-(1-2*M12)*(1-2*M12)+1))+1.5708))))*I11),"")</f>
        <v>1.4501243877246723</v>
      </c>
      <c r="P12" s="351"/>
      <c r="Q12" s="348"/>
      <c r="R12" s="341"/>
      <c r="T12" s="343"/>
      <c r="U12" s="333"/>
      <c r="V12" s="262">
        <f>J12</f>
        <v>836.08</v>
      </c>
      <c r="W12" s="262">
        <f t="shared" si="7"/>
        <v>834.77</v>
      </c>
      <c r="X12" s="263">
        <f t="shared" si="7"/>
        <v>1.3100000000000591</v>
      </c>
      <c r="Y12" s="241"/>
      <c r="Z12" s="257"/>
      <c r="AA12" s="257"/>
      <c r="AB12" s="257"/>
      <c r="AC12" s="242"/>
      <c r="AD12" s="252"/>
      <c r="AE12" s="237"/>
      <c r="AF12" s="238"/>
      <c r="AG12" s="239"/>
      <c r="AH12" s="241"/>
      <c r="AI12" s="242"/>
    </row>
    <row r="13" spans="1:35" x14ac:dyDescent="0.2">
      <c r="A13" s="398" t="s">
        <v>212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400"/>
      <c r="T13" s="408" t="str">
        <f>A13</f>
        <v>INTERCEPTOR (margem direita do Córrego Santa Maria do Leme)</v>
      </c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13"/>
    </row>
    <row r="14" spans="1:35" ht="13.5" thickBot="1" x14ac:dyDescent="0.25">
      <c r="A14" s="401"/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3"/>
      <c r="T14" s="414"/>
      <c r="U14" s="409"/>
      <c r="V14" s="409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13"/>
    </row>
    <row r="15" spans="1:35" x14ac:dyDescent="0.2">
      <c r="A15" s="376" t="s">
        <v>274</v>
      </c>
      <c r="B15" s="377">
        <v>26.26</v>
      </c>
      <c r="C15" s="188">
        <v>0.5</v>
      </c>
      <c r="D15" s="188">
        <f>IF(A15&lt;&gt;"",(C15/1000)*B15,"")</f>
        <v>1.3130000000000001E-2</v>
      </c>
      <c r="E15" s="188">
        <f>F12</f>
        <v>145.08404000000002</v>
      </c>
      <c r="F15" s="188">
        <f>E15+D15</f>
        <v>145.09717000000001</v>
      </c>
      <c r="G15" s="188">
        <f t="shared" ref="G15:G16" si="12">IF(F15&lt;1.5,1.5,F15)</f>
        <v>145.09717000000001</v>
      </c>
      <c r="H15" s="378">
        <v>400</v>
      </c>
      <c r="I15" s="340">
        <f>IF(A15&lt;&gt;"",(K15-K16)/B15,"")</f>
        <v>6.5498857578066533E-2</v>
      </c>
      <c r="J15" s="189">
        <v>836.08</v>
      </c>
      <c r="K15" s="189">
        <v>834.77</v>
      </c>
      <c r="L15" s="189">
        <f>IF(A15&lt;&gt;"",J15-K15,"")</f>
        <v>1.3100000000000591</v>
      </c>
      <c r="M15" s="189">
        <f>IF(A15&lt;&gt;"",IF((1.14*((G15*$R$1/1000)^0.482)/(((H15/1000)^1.285)*(I15^0.241)))&lt;0.3,(1.14*((G15*$R$1/1000)^0.482)/(((H15/1000)^1.285)*(I15^0.241))),(1.97107*((G15*$R$1/1000)/(((H15/1000)^(8/3))*(I15^0.5)))+0.19066)),"")</f>
        <v>0.3193122789764099</v>
      </c>
      <c r="N15" s="362">
        <f>L16</f>
        <v>1.4800000000000182</v>
      </c>
      <c r="O15" s="189">
        <f>IF(A15&lt;&gt;"",76.923*(((H15/4000)*(1-(SIN(2*(-ATAN((1-2*M15)/SQRT(-(1-2*M15)*(1-2*M15)+1))+1.5708)))/(2*(-ATAN((1-2*M15)/SQRT(-(1-2*M15)*(1-2*M15)+1))+1.5708))))^0.167)*SQRT(((H15/4000)*(1-(SIN(2*(-ATAN((1-2*M15)/SQRT(-(1-2*M15)*(1-2*M15)+1))+1.5708)))/(2*(-ATAN((1-2*M15)/SQRT(-(1-2*M15)*(1-2*M15)+1))+1.5708))))*I15),"")</f>
        <v>3.4024702991905631</v>
      </c>
      <c r="P15" s="379">
        <f>IF(A15&lt;&gt;"",10000*I15*(H15/4000)*(1-(SIN(2*(-ATAN((1-2*M16)/SQRT(-(1-2*M16)*(1-2*M16)+1))+1.5708)))/(2*(-ATAN((1-2*M16)/SQRT(-(1-2*M16)*(1-2*M16)+1))+1.5708))),"")</f>
        <v>47.124843066903793</v>
      </c>
      <c r="Q15" s="362">
        <f>IF(A15&lt;&gt;"",6*SQRT(9.8*((H15/4000)*(1-(SIN(2*(-ATAN((1-2*M16)/SQRT(-(1-2*M16)*(1-2*M16)+1))+1.5708)))/(2*(-ATAN((1-2*M16)/SQRT(-(1-2*M16)*(1-2*M16)+1))+1.5708))))),"")</f>
        <v>5.0381649719158732</v>
      </c>
      <c r="R15" s="340">
        <f>IF(A15&lt;&gt;"",0.0055*(IF(E15&gt;1.5,E15,1.5))^-0.47,"")</f>
        <v>5.3015328710167154E-4</v>
      </c>
      <c r="T15" s="415" t="str">
        <f t="shared" ref="T15:U15" si="13">A15</f>
        <v>22-23</v>
      </c>
      <c r="U15" s="423">
        <f t="shared" si="13"/>
        <v>26.26</v>
      </c>
      <c r="V15" s="258">
        <f t="shared" ref="V15:V56" si="14">J15</f>
        <v>836.08</v>
      </c>
      <c r="W15" s="258">
        <f t="shared" ref="W15:W56" si="15">K15</f>
        <v>834.77</v>
      </c>
      <c r="X15" s="259">
        <f t="shared" ref="X15:X56" si="16">L15</f>
        <v>1.3100000000000591</v>
      </c>
      <c r="Y15" s="234">
        <f>AVERAGE(L15:L16)</f>
        <v>1.3950000000000387</v>
      </c>
      <c r="Z15" s="256">
        <f>IF(Y15&lt;=1.5,Y15*B15*$Z$3,"")</f>
        <v>29.306160000000816</v>
      </c>
      <c r="AA15" s="256" t="str">
        <f>IF(AND(Y15&gt;1.5,Y15&lt;=3),Y15*B15*$Z$3,"")</f>
        <v/>
      </c>
      <c r="AB15" s="256" t="str">
        <f>IF(AND(Y15&gt;3,Y15&lt;=4.5),Y15*B15*$Z$3,"")</f>
        <v/>
      </c>
      <c r="AC15" s="240" t="str">
        <f>IF(AND(Y15&gt;4.5,Y15&lt;=6),Y15*B15*$Z$3,"")</f>
        <v/>
      </c>
      <c r="AD15" s="251" t="str">
        <f>IF(AA15&lt;&gt;"",AVERAGE(L15:L16)*B15*2,"")</f>
        <v/>
      </c>
      <c r="AE15" s="234">
        <f>IF(Y15&lt;&gt;"",1,"")</f>
        <v>1</v>
      </c>
      <c r="AF15" s="235">
        <f>IF(Y15&lt;&gt;"",0.5,"")</f>
        <v>0.5</v>
      </c>
      <c r="AG15" s="236" t="str">
        <f>IF(Y15&gt;1.85,Y15-1.85,"")</f>
        <v/>
      </c>
      <c r="AH15" s="234">
        <f t="shared" ref="AH15:AH55" si="17">B15*$AD$3*$Z$1</f>
        <v>1.5756000000000001</v>
      </c>
      <c r="AI15" s="240">
        <f t="shared" ref="AI15:AI55" si="18">B15*$AD$3*$Z$2</f>
        <v>4.7267999999999999</v>
      </c>
    </row>
    <row r="16" spans="1:35" x14ac:dyDescent="0.2">
      <c r="A16" s="334"/>
      <c r="B16" s="349"/>
      <c r="C16" s="184">
        <v>0.5</v>
      </c>
      <c r="D16" s="184">
        <f>IF(A15&lt;&gt;"",(C16/1000)*B15,"")</f>
        <v>1.3130000000000001E-2</v>
      </c>
      <c r="E16" s="184">
        <f>F15</f>
        <v>145.09717000000001</v>
      </c>
      <c r="F16" s="184">
        <f t="shared" ref="F16" si="19">E16+D16</f>
        <v>145.1103</v>
      </c>
      <c r="G16" s="184">
        <f t="shared" si="12"/>
        <v>145.1103</v>
      </c>
      <c r="H16" s="350"/>
      <c r="I16" s="350"/>
      <c r="J16" s="186">
        <v>834.53</v>
      </c>
      <c r="K16" s="186">
        <v>833.05</v>
      </c>
      <c r="L16" s="186">
        <f>IF(A15&lt;&gt;"",J16-K16,"")</f>
        <v>1.4800000000000182</v>
      </c>
      <c r="M16" s="186">
        <f>IF(A15&lt;&gt;"",IF((1.14*((G16*$R$1/1000)^0.482)/(((H15/1000)^1.285)*(I15^0.241)))&lt;0.3,(1.14*((G16*$R$1/1000)^0.482)/(((H15/1000)^1.285)*(I15^0.241))),(1.97107*((G16*$R$1/1000)/(((H15/1000)^(8/3))*(I15^0.5)))+0.19066)),"")</f>
        <v>0.31932392086041739</v>
      </c>
      <c r="N16" s="348"/>
      <c r="O16" s="186">
        <f>IF(A15&lt;&gt;"",76.923*(((H15/4000)*(1-(SIN(2*(-ATAN((1-2*M16)/SQRT(-(1-2*M16)*(1-2*M16)+1))+1.5708)))/(2*(-ATAN((1-2*M16)/SQRT(-(1-2*M16)*(1-2*M16)+1))+1.5708))))^0.167)*SQRT(((H15/4000)*(1-(SIN(2*(-ATAN((1-2*M16)/SQRT(-(1-2*M16)*(1-2*M16)+1))+1.5708)))/(2*(-ATAN((1-2*M16)/SQRT(-(1-2*M16)*(1-2*M16)+1))+1.5708))))*I15),"")</f>
        <v>3.4025371518264445</v>
      </c>
      <c r="P16" s="351"/>
      <c r="Q16" s="348"/>
      <c r="R16" s="341"/>
      <c r="T16" s="416"/>
      <c r="U16" s="422"/>
      <c r="V16" s="186">
        <f t="shared" si="14"/>
        <v>834.53</v>
      </c>
      <c r="W16" s="186">
        <f t="shared" si="15"/>
        <v>833.05</v>
      </c>
      <c r="X16" s="260">
        <f t="shared" si="16"/>
        <v>1.4800000000000182</v>
      </c>
      <c r="Y16" s="247"/>
      <c r="Z16" s="228"/>
      <c r="AA16" s="228"/>
      <c r="AB16" s="228"/>
      <c r="AC16" s="248"/>
      <c r="AD16" s="253"/>
      <c r="AE16" s="243"/>
      <c r="AF16" s="229"/>
      <c r="AG16" s="244"/>
      <c r="AH16" s="247">
        <f t="shared" si="17"/>
        <v>0</v>
      </c>
      <c r="AI16" s="248">
        <f t="shared" si="18"/>
        <v>0</v>
      </c>
    </row>
    <row r="17" spans="1:35" x14ac:dyDescent="0.2">
      <c r="A17" s="376" t="s">
        <v>275</v>
      </c>
      <c r="B17" s="377">
        <v>77.45</v>
      </c>
      <c r="C17" s="188">
        <v>0.5</v>
      </c>
      <c r="D17" s="188">
        <f>IF(A17&lt;&gt;"",(C17/1000)*B17,"")</f>
        <v>3.8725000000000002E-2</v>
      </c>
      <c r="E17" s="183">
        <f t="shared" ref="E17:E56" si="20">F16</f>
        <v>145.1103</v>
      </c>
      <c r="F17" s="188">
        <f>E17+D17</f>
        <v>145.14902499999999</v>
      </c>
      <c r="G17" s="188">
        <f t="shared" ref="G17:G18" si="21">IF(F17&lt;1.5,1.5,F17)</f>
        <v>145.14902499999999</v>
      </c>
      <c r="H17" s="378">
        <v>400</v>
      </c>
      <c r="I17" s="340">
        <f>IF(A17&lt;&gt;"",(K17-K18)/B17,"")</f>
        <v>2.0271142672691235E-2</v>
      </c>
      <c r="J17" s="189">
        <v>834.53</v>
      </c>
      <c r="K17" s="189">
        <v>833.05</v>
      </c>
      <c r="L17" s="189">
        <f>IF(A17&lt;&gt;"",J17-K17,"")</f>
        <v>1.4800000000000182</v>
      </c>
      <c r="M17" s="189">
        <f>IF(A17&lt;&gt;"",IF((1.14*((G17*$R$1/1000)^0.482)/(((H17/1000)^1.285)*(I17^0.241)))&lt;0.3,(1.14*((G17*$R$1/1000)^0.482)/(((H17/1000)^1.285)*(I17^0.241))),(1.97107*((G17*$R$1/1000)/(((H17/1000)^(8/3))*(I17^0.5)))+0.19066)),"")</f>
        <v>0.42199983004065889</v>
      </c>
      <c r="N17" s="362">
        <f>L18</f>
        <v>1.6299999999999955</v>
      </c>
      <c r="O17" s="189">
        <f>IF(A17&lt;&gt;"",76.923*(((H17/4000)*(1-(SIN(2*(-ATAN((1-2*M17)/SQRT(-(1-2*M17)*(1-2*M17)+1))+1.5708)))/(2*(-ATAN((1-2*M17)/SQRT(-(1-2*M17)*(1-2*M17)+1))+1.5708))))^0.167)*SQRT(((H17/4000)*(1-(SIN(2*(-ATAN((1-2*M17)/SQRT(-(1-2*M17)*(1-2*M17)+1))+1.5708)))/(2*(-ATAN((1-2*M17)/SQRT(-(1-2*M17)*(1-2*M17)+1))+1.5708))))*I17),"")</f>
        <v>2.1831156589762015</v>
      </c>
      <c r="P17" s="379">
        <f>IF(A17&lt;&gt;"",10000*I17*(H17/4000)*(1-(SIN(2*(-ATAN((1-2*M18)/SQRT(-(1-2*M18)*(1-2*M18)+1))+1.5708)))/(2*(-ATAN((1-2*M18)/SQRT(-(1-2*M18)*(1-2*M18)+1))+1.5708))),"")</f>
        <v>18.064297196651797</v>
      </c>
      <c r="Q17" s="362">
        <f>IF(A17&lt;&gt;"",6*SQRT(9.8*((H17/4000)*(1-(SIN(2*(-ATAN((1-2*M18)/SQRT(-(1-2*M18)*(1-2*M18)+1))+1.5708)))/(2*(-ATAN((1-2*M18)/SQRT(-(1-2*M18)*(1-2*M18)+1))+1.5708))))),"")</f>
        <v>5.607066513644039</v>
      </c>
      <c r="R17" s="340">
        <f>IF(A17&lt;&gt;"",0.0055*(IF(E17&gt;1.5,E17,1.5))^-0.47,"")</f>
        <v>5.3010819332323486E-4</v>
      </c>
      <c r="T17" s="342" t="str">
        <f t="shared" ref="T17:U17" si="22">A17</f>
        <v>23-24</v>
      </c>
      <c r="U17" s="332">
        <f t="shared" si="22"/>
        <v>77.45</v>
      </c>
      <c r="V17" s="189">
        <f t="shared" si="14"/>
        <v>834.53</v>
      </c>
      <c r="W17" s="189">
        <f t="shared" si="15"/>
        <v>833.05</v>
      </c>
      <c r="X17" s="261">
        <f t="shared" si="16"/>
        <v>1.4800000000000182</v>
      </c>
      <c r="Y17" s="270">
        <f>AVERAGE(L17:L18)+SUM($Z$1:$Z$2)</f>
        <v>1.9550000000000067</v>
      </c>
      <c r="Z17" s="271" t="str">
        <f>IF(Y17&lt;=1.5,Y17*B17*$Z$3,"")</f>
        <v/>
      </c>
      <c r="AA17" s="271">
        <f>IF(AND(Y17&gt;1.5,Y17&lt;=3),Y17*B17*$Z$3,"")</f>
        <v>121.13180000000044</v>
      </c>
      <c r="AB17" s="271" t="str">
        <f>IF(AND(Y17&gt;3,Y17&lt;=4.5),Y17*B17*$Z$3,"")</f>
        <v/>
      </c>
      <c r="AC17" s="272" t="str">
        <f>IF(AND(Y17&gt;4.5,Y17&lt;=6),Y17*B17*$Z$3,"")</f>
        <v/>
      </c>
      <c r="AD17" s="249">
        <f>IF(AA17&lt;&gt;"",AVERAGE(L17:L18)*B17*2,"")</f>
        <v>240.86950000000107</v>
      </c>
      <c r="AE17" s="270">
        <f>IF(Y17&lt;&gt;"",1,"")</f>
        <v>1</v>
      </c>
      <c r="AF17" s="273">
        <f>IF(Y17&lt;&gt;"",0.5,"")</f>
        <v>0.5</v>
      </c>
      <c r="AG17" s="274">
        <f>IF(Y17&gt;1.85,Y17-1.85,"")</f>
        <v>0.10500000000000664</v>
      </c>
      <c r="AH17" s="270">
        <f t="shared" si="17"/>
        <v>4.6470000000000002</v>
      </c>
      <c r="AI17" s="272">
        <f t="shared" si="18"/>
        <v>13.940999999999999</v>
      </c>
    </row>
    <row r="18" spans="1:35" x14ac:dyDescent="0.2">
      <c r="A18" s="334"/>
      <c r="B18" s="349"/>
      <c r="C18" s="184">
        <v>0.5</v>
      </c>
      <c r="D18" s="184">
        <f>IF(A17&lt;&gt;"",(C18/1000)*B17,"")</f>
        <v>3.8725000000000002E-2</v>
      </c>
      <c r="E18" s="184">
        <f t="shared" si="20"/>
        <v>145.14902499999999</v>
      </c>
      <c r="F18" s="184">
        <f t="shared" ref="F18" si="23">E18+D18</f>
        <v>145.18774999999999</v>
      </c>
      <c r="G18" s="184">
        <f t="shared" si="21"/>
        <v>145.18774999999999</v>
      </c>
      <c r="H18" s="350"/>
      <c r="I18" s="350"/>
      <c r="J18" s="186">
        <v>833.11</v>
      </c>
      <c r="K18" s="186">
        <v>831.48</v>
      </c>
      <c r="L18" s="186">
        <f>IF(A17&lt;&gt;"",J18-K18,"")</f>
        <v>1.6299999999999955</v>
      </c>
      <c r="M18" s="186">
        <f>IF(A17&lt;&gt;"",IF((1.14*((G18*$R$1/1000)^0.482)/(((H17/1000)^1.285)*(I17^0.241)))&lt;0.3,(1.14*((G18*$R$1/1000)^0.482)/(((H17/1000)^1.285)*(I17^0.241))),(1.97107*((G18*$R$1/1000)/(((H17/1000)^(8/3))*(I17^0.5)))+0.19066)),"")</f>
        <v>0.42206155029622605</v>
      </c>
      <c r="N18" s="348"/>
      <c r="O18" s="186">
        <f>IF(A17&lt;&gt;"",76.923*(((H17/4000)*(1-(SIN(2*(-ATAN((1-2*M18)/SQRT(-(1-2*M18)*(1-2*M18)+1))+1.5708)))/(2*(-ATAN((1-2*M18)/SQRT(-(1-2*M18)*(1-2*M18)+1))+1.5708))))^0.167)*SQRT(((H17/4000)*(1-(SIN(2*(-ATAN((1-2*M18)/SQRT(-(1-2*M18)*(1-2*M18)+1))+1.5708)))/(2*(-ATAN((1-2*M18)/SQRT(-(1-2*M18)*(1-2*M18)+1))+1.5708))))*I17),"")</f>
        <v>2.1832687693779449</v>
      </c>
      <c r="P18" s="351"/>
      <c r="Q18" s="348"/>
      <c r="R18" s="341"/>
      <c r="T18" s="416"/>
      <c r="U18" s="422"/>
      <c r="V18" s="186">
        <f t="shared" si="14"/>
        <v>833.11</v>
      </c>
      <c r="W18" s="186">
        <f t="shared" si="15"/>
        <v>831.48</v>
      </c>
      <c r="X18" s="260">
        <f t="shared" si="16"/>
        <v>1.6299999999999955</v>
      </c>
      <c r="Y18" s="270"/>
      <c r="Z18" s="271"/>
      <c r="AA18" s="271"/>
      <c r="AB18" s="271"/>
      <c r="AC18" s="272"/>
      <c r="AD18" s="249"/>
      <c r="AE18" s="275"/>
      <c r="AF18" s="273"/>
      <c r="AG18" s="274"/>
      <c r="AH18" s="270">
        <f t="shared" si="17"/>
        <v>0</v>
      </c>
      <c r="AI18" s="272">
        <f t="shared" si="18"/>
        <v>0</v>
      </c>
    </row>
    <row r="19" spans="1:35" x14ac:dyDescent="0.2">
      <c r="A19" s="334" t="s">
        <v>179</v>
      </c>
      <c r="B19" s="349">
        <v>99.83</v>
      </c>
      <c r="C19" s="183">
        <v>0.5</v>
      </c>
      <c r="D19" s="183">
        <f>IF(A19&lt;&gt;"",(C19/1000)*B19,"")</f>
        <v>4.9915000000000001E-2</v>
      </c>
      <c r="E19" s="183">
        <f t="shared" si="20"/>
        <v>145.18774999999999</v>
      </c>
      <c r="F19" s="183">
        <f t="shared" si="1"/>
        <v>145.23766499999999</v>
      </c>
      <c r="G19" s="183">
        <f t="shared" ref="G19:G56" si="24">IF(F19&lt;1.5,1.5,F19)</f>
        <v>145.23766499999999</v>
      </c>
      <c r="H19" s="350">
        <v>400</v>
      </c>
      <c r="I19" s="341">
        <f>IF(A19&lt;&gt;"",(K19-K20)/B19,"")</f>
        <v>1.8932184714013686E-2</v>
      </c>
      <c r="J19" s="185">
        <v>833.11</v>
      </c>
      <c r="K19" s="185">
        <v>831.48</v>
      </c>
      <c r="L19" s="185">
        <f>IF(A19&lt;&gt;"",J19-K19,"")</f>
        <v>1.6299999999999955</v>
      </c>
      <c r="M19" s="185">
        <f>IF(A19&lt;&gt;"",IF((1.14*((G19*$R$1/1000)^0.482)/(((H19/1000)^1.285)*(I19^0.241)))&lt;0.3,(1.14*((G19*$R$1/1000)^0.482)/(((H19/1000)^1.285)*(I19^0.241))),(1.97107*((G19*$R$1/1000)/(((H19/1000)^(8/3))*(I19^0.5)))+0.19066)),"")</f>
        <v>0.4301869012044916</v>
      </c>
      <c r="N19" s="348">
        <f>L20</f>
        <v>1.5</v>
      </c>
      <c r="O19" s="185">
        <f>IF(A19&lt;&gt;"",76.923*(((H19/4000)*(1-(SIN(2*(-ATAN((1-2*M19)/SQRT(-(1-2*M19)*(1-2*M19)+1))+1.5708)))/(2*(-ATAN((1-2*M19)/SQRT(-(1-2*M19)*(1-2*M19)+1))+1.5708))))^0.167)*SQRT(((H19/4000)*(1-(SIN(2*(-ATAN((1-2*M19)/SQRT(-(1-2*M19)*(1-2*M19)+1))+1.5708)))/(2*(-ATAN((1-2*M19)/SQRT(-(1-2*M19)*(1-2*M19)+1))+1.5708))))*I19),"")</f>
        <v>2.129207045918954</v>
      </c>
      <c r="P19" s="351">
        <f>IF(A19&lt;&gt;"",10000*I19*(H19/4000)*(1-(SIN(2*(-ATAN((1-2*M20)/SQRT(-(1-2*M20)*(1-2*M20)+1))+1.5708)))/(2*(-ATAN((1-2*M20)/SQRT(-(1-2*M20)*(1-2*M20)+1))+1.5708))),"")</f>
        <v>17.105030568297387</v>
      </c>
      <c r="Q19" s="348">
        <f>IF(A19&lt;&gt;"",6*SQRT(9.8*((H19/4000)*(1-(SIN(2*(-ATAN((1-2*M20)/SQRT(-(1-2*M20)*(1-2*M20)+1))+1.5708)))/(2*(-ATAN((1-2*M20)/SQRT(-(1-2*M20)*(1-2*M20)+1))+1.5708))))),"")</f>
        <v>5.6458046751977964</v>
      </c>
      <c r="R19" s="340">
        <f t="shared" ref="R19" si="25">IF(A19&lt;&gt;"",0.0055*(IF(E19&gt;1.5,E19,1.5))^-0.47,"")</f>
        <v>5.2997526570368293E-4</v>
      </c>
      <c r="T19" s="342" t="str">
        <f t="shared" ref="T19:U19" si="26">A19</f>
        <v>24-25</v>
      </c>
      <c r="U19" s="332">
        <f t="shared" si="26"/>
        <v>99.83</v>
      </c>
      <c r="V19" s="189">
        <f t="shared" si="14"/>
        <v>833.11</v>
      </c>
      <c r="W19" s="189">
        <f t="shared" si="15"/>
        <v>831.48</v>
      </c>
      <c r="X19" s="261">
        <f t="shared" si="16"/>
        <v>1.6299999999999955</v>
      </c>
      <c r="Y19" s="245">
        <f>AVERAGE(L19:L20)+SUM($Z$1:$Z$2)</f>
        <v>1.9649999999999976</v>
      </c>
      <c r="Z19" s="226" t="str">
        <f>IF(Y19&lt;=1.5,Y19*B19*$Z$3,"")</f>
        <v/>
      </c>
      <c r="AA19" s="226">
        <f>IF(AND(Y19&gt;1.5,Y19&lt;=3),Y19*B19*$Z$3,"")</f>
        <v>156.9327599999998</v>
      </c>
      <c r="AB19" s="226" t="str">
        <f>IF(AND(Y19&gt;3,Y19&lt;=4.5),Y19*B19*$Z$3,"")</f>
        <v/>
      </c>
      <c r="AC19" s="250" t="str">
        <f>IF(AND(Y19&gt;4.5,Y19&lt;=6),Y19*B19*$Z$3,"")</f>
        <v/>
      </c>
      <c r="AD19" s="254">
        <f>IF(AA19&lt;&gt;"",AVERAGE(L19:L20)*B19*2,"")</f>
        <v>312.46789999999953</v>
      </c>
      <c r="AE19" s="245">
        <f>IF(Y19&lt;&gt;"",1,"")</f>
        <v>1</v>
      </c>
      <c r="AF19" s="227">
        <f>IF(Y19&lt;&gt;"",0.5,"")</f>
        <v>0.5</v>
      </c>
      <c r="AG19" s="246">
        <f>IF(Y19&gt;1.85,Y19-1.85,"")</f>
        <v>0.11499999999999755</v>
      </c>
      <c r="AH19" s="245">
        <f t="shared" si="17"/>
        <v>5.9897999999999998</v>
      </c>
      <c r="AI19" s="250">
        <f t="shared" si="18"/>
        <v>17.969399999999997</v>
      </c>
    </row>
    <row r="20" spans="1:35" x14ac:dyDescent="0.2">
      <c r="A20" s="334"/>
      <c r="B20" s="349"/>
      <c r="C20" s="184">
        <v>0.5</v>
      </c>
      <c r="D20" s="184">
        <f>IF(A19&lt;&gt;"",(C20/1000)*B19,"")</f>
        <v>4.9915000000000001E-2</v>
      </c>
      <c r="E20" s="184">
        <f t="shared" si="20"/>
        <v>145.23766499999999</v>
      </c>
      <c r="F20" s="184">
        <f t="shared" si="1"/>
        <v>145.28757999999999</v>
      </c>
      <c r="G20" s="184">
        <f t="shared" si="24"/>
        <v>145.28757999999999</v>
      </c>
      <c r="H20" s="350"/>
      <c r="I20" s="350"/>
      <c r="J20" s="186">
        <v>831.09</v>
      </c>
      <c r="K20" s="186">
        <v>829.59</v>
      </c>
      <c r="L20" s="186">
        <f>IF(A19&lt;&gt;"",J20-K20,"")</f>
        <v>1.5</v>
      </c>
      <c r="M20" s="186">
        <f>IF(A19&lt;&gt;"",IF((1.14*((G20*$R$1/1000)^0.482)/(((H19/1000)^1.285)*(I19^0.241)))&lt;0.3,(1.14*((G20*$R$1/1000)^0.482)/(((H19/1000)^1.285)*(I19^0.241))),(1.97107*((G20*$R$1/1000)/(((H19/1000)^(8/3))*(I19^0.5)))+0.19066)),"")</f>
        <v>0.43026922134695345</v>
      </c>
      <c r="N20" s="348"/>
      <c r="O20" s="186">
        <f>IF(A19&lt;&gt;"",76.923*(((H19/4000)*(1-(SIN(2*(-ATAN((1-2*M20)/SQRT(-(1-2*M20)*(1-2*M20)+1))+1.5708)))/(2*(-ATAN((1-2*M20)/SQRT(-(1-2*M20)*(1-2*M20)+1))+1.5708))))^0.167)*SQRT(((H19/4000)*(1-(SIN(2*(-ATAN((1-2*M20)/SQRT(-(1-2*M20)*(1-2*M20)+1))+1.5708)))/(2*(-ATAN((1-2*M20)/SQRT(-(1-2*M20)*(1-2*M20)+1))+1.5708))))*I19),"")</f>
        <v>2.1294002564119769</v>
      </c>
      <c r="P20" s="351"/>
      <c r="Q20" s="348"/>
      <c r="R20" s="341"/>
      <c r="T20" s="416"/>
      <c r="U20" s="422"/>
      <c r="V20" s="186">
        <f t="shared" si="14"/>
        <v>831.09</v>
      </c>
      <c r="W20" s="186">
        <f t="shared" si="15"/>
        <v>829.59</v>
      </c>
      <c r="X20" s="260">
        <f t="shared" si="16"/>
        <v>1.5</v>
      </c>
      <c r="Y20" s="247"/>
      <c r="Z20" s="228"/>
      <c r="AA20" s="228"/>
      <c r="AB20" s="228"/>
      <c r="AC20" s="248"/>
      <c r="AD20" s="253"/>
      <c r="AE20" s="243"/>
      <c r="AF20" s="229"/>
      <c r="AG20" s="244"/>
      <c r="AH20" s="247">
        <f t="shared" si="17"/>
        <v>0</v>
      </c>
      <c r="AI20" s="248">
        <f t="shared" si="18"/>
        <v>0</v>
      </c>
    </row>
    <row r="21" spans="1:35" x14ac:dyDescent="0.2">
      <c r="A21" s="334" t="s">
        <v>180</v>
      </c>
      <c r="B21" s="349">
        <v>67.14</v>
      </c>
      <c r="C21" s="183">
        <v>0.5</v>
      </c>
      <c r="D21" s="183">
        <f>IF(A21&lt;&gt;"",(C21/1000)*B21,"")</f>
        <v>3.3570000000000003E-2</v>
      </c>
      <c r="E21" s="183">
        <f t="shared" si="20"/>
        <v>145.28757999999999</v>
      </c>
      <c r="F21" s="183">
        <f t="shared" si="1"/>
        <v>145.32114999999999</v>
      </c>
      <c r="G21" s="183">
        <f t="shared" si="24"/>
        <v>145.32114999999999</v>
      </c>
      <c r="H21" s="350">
        <v>400</v>
      </c>
      <c r="I21" s="341">
        <f>IF(A21&lt;&gt;"",(K21-K22)/B21,"")</f>
        <v>1.5787905868335703E-2</v>
      </c>
      <c r="J21" s="185">
        <v>831.09</v>
      </c>
      <c r="K21" s="185">
        <v>829.59</v>
      </c>
      <c r="L21" s="185">
        <f>IF(A21&lt;&gt;"",J21-K21,"")</f>
        <v>1.5</v>
      </c>
      <c r="M21" s="185">
        <f>IF(A21&lt;&gt;"",IF((1.14*((G21*$R$1/1000)^0.482)/(((H21/1000)^1.285)*(I21^0.241)))&lt;0.3,(1.14*((G21*$R$1/1000)^0.482)/(((H21/1000)^1.285)*(I21^0.241))),(1.97107*((G21*$R$1/1000)/(((H21/1000)^(8/3))*(I21^0.5)))+0.19066)),"")</f>
        <v>0.45310721360693157</v>
      </c>
      <c r="N21" s="348">
        <f>L22</f>
        <v>1.5900000000000318</v>
      </c>
      <c r="O21" s="185">
        <f>IF(A21&lt;&gt;"",76.923*(((H21/4000)*(1-(SIN(2*(-ATAN((1-2*M21)/SQRT(-(1-2*M21)*(1-2*M21)+1))+1.5708)))/(2*(-ATAN((1-2*M21)/SQRT(-(1-2*M21)*(1-2*M21)+1))+1.5708))))^0.167)*SQRT(((H21/4000)*(1-(SIN(2*(-ATAN((1-2*M21)/SQRT(-(1-2*M21)*(1-2*M21)+1))+1.5708)))/(2*(-ATAN((1-2*M21)/SQRT(-(1-2*M21)*(1-2*M21)+1))+1.5708))))*I21),"")</f>
        <v>1.9920519721477852</v>
      </c>
      <c r="P21" s="351">
        <f>IF(A21&lt;&gt;"",10000*I21*(H21/4000)*(1-(SIN(2*(-ATAN((1-2*M22)/SQRT(-(1-2*M22)*(1-2*M22)+1))+1.5708)))/(2*(-ATAN((1-2*M22)/SQRT(-(1-2*M22)*(1-2*M22)+1))+1.5708))),"")</f>
        <v>14.791150687941931</v>
      </c>
      <c r="Q21" s="348">
        <f>IF(A21&lt;&gt;"",6*SQRT(9.8*((H21/4000)*(1-(SIN(2*(-ATAN((1-2*M22)/SQRT(-(1-2*M22)*(1-2*M22)+1))+1.5708)))/(2*(-ATAN((1-2*M22)/SQRT(-(1-2*M22)*(1-2*M22)+1))+1.5708))))),"")</f>
        <v>5.7491415931527072</v>
      </c>
      <c r="R21" s="340">
        <f t="shared" ref="R21" si="27">IF(A21&lt;&gt;"",0.0055*(IF(E21&gt;1.5,E21,1.5))^-0.47,"")</f>
        <v>5.2980408092717505E-4</v>
      </c>
      <c r="T21" s="342" t="str">
        <f t="shared" ref="T21:U21" si="28">A21</f>
        <v>25-26</v>
      </c>
      <c r="U21" s="332">
        <f t="shared" si="28"/>
        <v>67.14</v>
      </c>
      <c r="V21" s="189">
        <f t="shared" si="14"/>
        <v>831.09</v>
      </c>
      <c r="W21" s="189">
        <f t="shared" si="15"/>
        <v>829.59</v>
      </c>
      <c r="X21" s="261">
        <f t="shared" si="16"/>
        <v>1.5</v>
      </c>
      <c r="Y21" s="270">
        <f>AVERAGE(L21:L22)+SUM($Z$1:$Z$2)</f>
        <v>1.9450000000000158</v>
      </c>
      <c r="Z21" s="271" t="str">
        <f>IF(Y21&lt;=1.5,Y21*B21*$Z$3,"")</f>
        <v/>
      </c>
      <c r="AA21" s="271">
        <f>IF(AND(Y21&gt;1.5,Y21&lt;=3),Y21*B21*$Z$3,"")</f>
        <v>104.46984000000084</v>
      </c>
      <c r="AB21" s="271" t="str">
        <f>IF(AND(Y21&gt;3,Y21&lt;=4.5),Y21*B21*$Z$3,"")</f>
        <v/>
      </c>
      <c r="AC21" s="272" t="str">
        <f>IF(AND(Y21&gt;4.5,Y21&lt;=6),Y21*B21*$Z$3,"")</f>
        <v/>
      </c>
      <c r="AD21" s="249">
        <f>IF(AA21&lt;&gt;"",AVERAGE(L21:L22)*B21*2,"")</f>
        <v>207.46260000000214</v>
      </c>
      <c r="AE21" s="270">
        <f>IF(Y21&lt;&gt;"",1,"")</f>
        <v>1</v>
      </c>
      <c r="AF21" s="273">
        <f>IF(Y21&lt;&gt;"",0.5,"")</f>
        <v>0.5</v>
      </c>
      <c r="AG21" s="274">
        <f>IF(Y21&gt;1.85,Y21-1.85,"")</f>
        <v>9.5000000000015739E-2</v>
      </c>
      <c r="AH21" s="270">
        <f t="shared" si="17"/>
        <v>4.0284000000000004</v>
      </c>
      <c r="AI21" s="272">
        <f t="shared" si="18"/>
        <v>12.085199999999999</v>
      </c>
    </row>
    <row r="22" spans="1:35" x14ac:dyDescent="0.2">
      <c r="A22" s="334"/>
      <c r="B22" s="349"/>
      <c r="C22" s="184">
        <v>0.5</v>
      </c>
      <c r="D22" s="184">
        <f>IF(A21&lt;&gt;"",(C22/1000)*B21,"")</f>
        <v>3.3570000000000003E-2</v>
      </c>
      <c r="E22" s="184">
        <f t="shared" si="20"/>
        <v>145.32114999999999</v>
      </c>
      <c r="F22" s="184">
        <f t="shared" si="1"/>
        <v>145.35471999999999</v>
      </c>
      <c r="G22" s="184">
        <f t="shared" si="24"/>
        <v>145.35471999999999</v>
      </c>
      <c r="H22" s="350"/>
      <c r="I22" s="350"/>
      <c r="J22" s="186">
        <v>830.12</v>
      </c>
      <c r="K22" s="186">
        <v>828.53</v>
      </c>
      <c r="L22" s="186">
        <f>IF(A21&lt;&gt;"",J22-K22,"")</f>
        <v>1.5900000000000318</v>
      </c>
      <c r="M22" s="186">
        <f>IF(A21&lt;&gt;"",IF((1.14*((G22*$R$1/1000)^0.482)/(((H21/1000)^1.285)*(I21^0.241)))&lt;0.3,(1.14*((G22*$R$1/1000)^0.482)/(((H21/1000)^1.285)*(I21^0.241))),(1.97107*((G22*$R$1/1000)/(((H21/1000)^(8/3))*(I21^0.5)))+0.19066)),"")</f>
        <v>0.45316784038397528</v>
      </c>
      <c r="N22" s="348"/>
      <c r="O22" s="186">
        <f>IF(A21&lt;&gt;"",76.923*(((H21/4000)*(1-(SIN(2*(-ATAN((1-2*M22)/SQRT(-(1-2*M22)*(1-2*M22)+1))+1.5708)))/(2*(-ATAN((1-2*M22)/SQRT(-(1-2*M22)*(1-2*M22)+1))+1.5708))))^0.167)*SQRT(((H21/4000)*(1-(SIN(2*(-ATAN((1-2*M22)/SQRT(-(1-2*M22)*(1-2*M22)+1))+1.5708)))/(2*(-ATAN((1-2*M22)/SQRT(-(1-2*M22)*(1-2*M22)+1))+1.5708))))*I21),"")</f>
        <v>1.9921742648088427</v>
      </c>
      <c r="P22" s="351"/>
      <c r="Q22" s="348"/>
      <c r="R22" s="341"/>
      <c r="T22" s="416"/>
      <c r="U22" s="422"/>
      <c r="V22" s="186">
        <f t="shared" si="14"/>
        <v>830.12</v>
      </c>
      <c r="W22" s="186">
        <f t="shared" si="15"/>
        <v>828.53</v>
      </c>
      <c r="X22" s="260">
        <f t="shared" si="16"/>
        <v>1.5900000000000318</v>
      </c>
      <c r="Y22" s="270"/>
      <c r="Z22" s="271"/>
      <c r="AA22" s="271"/>
      <c r="AB22" s="271"/>
      <c r="AC22" s="272"/>
      <c r="AD22" s="249"/>
      <c r="AE22" s="275"/>
      <c r="AF22" s="273"/>
      <c r="AG22" s="274"/>
      <c r="AH22" s="270">
        <f t="shared" si="17"/>
        <v>0</v>
      </c>
      <c r="AI22" s="272">
        <f t="shared" si="18"/>
        <v>0</v>
      </c>
    </row>
    <row r="23" spans="1:35" x14ac:dyDescent="0.2">
      <c r="A23" s="334" t="s">
        <v>181</v>
      </c>
      <c r="B23" s="349">
        <v>58.83</v>
      </c>
      <c r="C23" s="183">
        <v>0.5</v>
      </c>
      <c r="D23" s="183">
        <f>IF(A23&lt;&gt;"",(C23/1000)*B23,"")</f>
        <v>2.9415E-2</v>
      </c>
      <c r="E23" s="183">
        <f t="shared" si="20"/>
        <v>145.35471999999999</v>
      </c>
      <c r="F23" s="183">
        <f t="shared" si="1"/>
        <v>145.38413499999999</v>
      </c>
      <c r="G23" s="183">
        <f t="shared" si="24"/>
        <v>145.38413499999999</v>
      </c>
      <c r="H23" s="350">
        <v>400</v>
      </c>
      <c r="I23" s="341">
        <f>IF(A23&lt;&gt;"",(K23-K24)/B23,"")</f>
        <v>8.3290838007820684E-3</v>
      </c>
      <c r="J23" s="185">
        <v>830.12</v>
      </c>
      <c r="K23" s="185">
        <v>828.53</v>
      </c>
      <c r="L23" s="185">
        <f>IF(A23&lt;&gt;"",J23-K23,"")</f>
        <v>1.5900000000000318</v>
      </c>
      <c r="M23" s="185">
        <f>IF(A23&lt;&gt;"",IF((1.14*((G23*$R$1/1000)^0.482)/(((H23/1000)^1.285)*(I23^0.241)))&lt;0.3,(1.14*((G23*$R$1/1000)^0.482)/(((H23/1000)^1.285)*(I23^0.241))),(1.97107*((G23*$R$1/1000)/(((H23/1000)^(8/3))*(I23^0.5)))+0.19066)),"")</f>
        <v>0.55214793380684424</v>
      </c>
      <c r="N23" s="348">
        <f>L24</f>
        <v>1.9600000000000364</v>
      </c>
      <c r="O23" s="185">
        <f>IF(A23&lt;&gt;"",76.923*(((H23/4000)*(1-(SIN(2*(-ATAN((1-2*M23)/SQRT(-(1-2*M23)*(1-2*M23)+1))+1.5708)))/(2*(-ATAN((1-2*M23)/SQRT(-(1-2*M23)*(1-2*M23)+1))+1.5708))))^0.167)*SQRT(((H23/4000)*(1-(SIN(2*(-ATAN((1-2*M23)/SQRT(-(1-2*M23)*(1-2*M23)+1))+1.5708)))/(2*(-ATAN((1-2*M23)/SQRT(-(1-2*M23)*(1-2*M23)+1))+1.5708))))*I23),"")</f>
        <v>1.5731044710153077</v>
      </c>
      <c r="P23" s="351">
        <f>IF(A23&lt;&gt;"",10000*I23*(H23/4000)*(1-(SIN(2*(-ATAN((1-2*M24)/SQRT(-(1-2*M24)*(1-2*M24)+1))+1.5708)))/(2*(-ATAN((1-2*M24)/SQRT(-(1-2*M24)*(1-2*M24)+1))+1.5708))),"")</f>
        <v>8.8454755430582566</v>
      </c>
      <c r="Q23" s="348">
        <f>IF(A23&lt;&gt;"",6*SQRT(9.8*((H23/4000)*(1-(SIN(2*(-ATAN((1-2*M24)/SQRT(-(1-2*M24)*(1-2*M24)+1))+1.5708)))/(2*(-ATAN((1-2*M24)/SQRT(-(1-2*M24)*(1-2*M24)+1))+1.5708))))),"")</f>
        <v>6.1210547690952541</v>
      </c>
      <c r="R23" s="340">
        <f t="shared" ref="R23" si="29">IF(A23&lt;&gt;"",0.0055*(IF(E23&gt;1.5,E23,1.5))^-0.47,"")</f>
        <v>5.2968904896599236E-4</v>
      </c>
      <c r="T23" s="342" t="str">
        <f t="shared" ref="T23:U23" si="30">A23</f>
        <v>26-27</v>
      </c>
      <c r="U23" s="332">
        <f t="shared" si="30"/>
        <v>58.83</v>
      </c>
      <c r="V23" s="189">
        <f t="shared" si="14"/>
        <v>830.12</v>
      </c>
      <c r="W23" s="189">
        <f t="shared" si="15"/>
        <v>828.53</v>
      </c>
      <c r="X23" s="261">
        <f t="shared" si="16"/>
        <v>1.5900000000000318</v>
      </c>
      <c r="Y23" s="245">
        <f>AVERAGE(L23:L24)+SUM($Z$1:$Z$2)</f>
        <v>2.175000000000034</v>
      </c>
      <c r="Z23" s="226" t="str">
        <f>IF(Y23&lt;=1.5,Y23*B23*$Z$3,"")</f>
        <v/>
      </c>
      <c r="AA23" s="226">
        <f>IF(AND(Y23&gt;1.5,Y23&lt;=3),Y23*B23*$Z$3,"")</f>
        <v>102.3642000000016</v>
      </c>
      <c r="AB23" s="226" t="str">
        <f>IF(AND(Y23&gt;3,Y23&lt;=4.5),Y23*B23*$Z$3,"")</f>
        <v/>
      </c>
      <c r="AC23" s="250" t="str">
        <f>IF(AND(Y23&gt;4.5,Y23&lt;=6),Y23*B23*$Z$3,"")</f>
        <v/>
      </c>
      <c r="AD23" s="254">
        <f>IF(AA23&lt;&gt;"",AVERAGE(L23:L24)*B23*2,"")</f>
        <v>208.846500000004</v>
      </c>
      <c r="AE23" s="245">
        <f>IF(Y23&lt;&gt;"",1,"")</f>
        <v>1</v>
      </c>
      <c r="AF23" s="227">
        <f>IF(Y23&lt;&gt;"",0.5,"")</f>
        <v>0.5</v>
      </c>
      <c r="AG23" s="246">
        <f>IF(Y23&gt;1.85,Y23-1.85,"")</f>
        <v>0.32500000000003393</v>
      </c>
      <c r="AH23" s="245">
        <f t="shared" si="17"/>
        <v>3.5297999999999998</v>
      </c>
      <c r="AI23" s="250">
        <f t="shared" si="18"/>
        <v>10.589399999999998</v>
      </c>
    </row>
    <row r="24" spans="1:35" x14ac:dyDescent="0.2">
      <c r="A24" s="334"/>
      <c r="B24" s="349"/>
      <c r="C24" s="184">
        <v>0.5</v>
      </c>
      <c r="D24" s="184">
        <f>IF(A23&lt;&gt;"",(C24/1000)*B23,"")</f>
        <v>2.9415E-2</v>
      </c>
      <c r="E24" s="184">
        <f t="shared" si="20"/>
        <v>145.38413499999999</v>
      </c>
      <c r="F24" s="184">
        <f t="shared" si="1"/>
        <v>145.41354999999999</v>
      </c>
      <c r="G24" s="184">
        <f t="shared" si="24"/>
        <v>145.41354999999999</v>
      </c>
      <c r="H24" s="350"/>
      <c r="I24" s="350"/>
      <c r="J24" s="186">
        <v>830</v>
      </c>
      <c r="K24" s="186">
        <v>828.04</v>
      </c>
      <c r="L24" s="186">
        <f>IF(A23&lt;&gt;"",J24-K24,"")</f>
        <v>1.9600000000000364</v>
      </c>
      <c r="M24" s="186">
        <f>IF(A23&lt;&gt;"",IF((1.14*((G24*$R$1/1000)^0.482)/(((H23/1000)^1.285)*(I23^0.241)))&lt;0.3,(1.14*((G24*$R$1/1000)^0.482)/(((H23/1000)^1.285)*(I23^0.241))),(1.97107*((G24*$R$1/1000)/(((H23/1000)^(8/3))*(I23^0.5)))+0.19066)),"")</f>
        <v>0.55222107223816563</v>
      </c>
      <c r="N24" s="348"/>
      <c r="O24" s="186">
        <f>IF(A23&lt;&gt;"",76.923*(((H23/4000)*(1-(SIN(2*(-ATAN((1-2*M24)/SQRT(-(1-2*M24)*(1-2*M24)+1))+1.5708)))/(2*(-ATAN((1-2*M24)/SQRT(-(1-2*M24)*(1-2*M24)+1))+1.5708))))^0.167)*SQRT(((H23/4000)*(1-(SIN(2*(-ATAN((1-2*M24)/SQRT(-(1-2*M24)*(1-2*M24)+1))+1.5708)))/(2*(-ATAN((1-2*M24)/SQRT(-(1-2*M24)*(1-2*M24)+1))+1.5708))))*I23),"")</f>
        <v>1.5731839493696278</v>
      </c>
      <c r="P24" s="351"/>
      <c r="Q24" s="348"/>
      <c r="R24" s="341"/>
      <c r="T24" s="416"/>
      <c r="U24" s="422"/>
      <c r="V24" s="186">
        <f t="shared" si="14"/>
        <v>830</v>
      </c>
      <c r="W24" s="186">
        <f t="shared" si="15"/>
        <v>828.04</v>
      </c>
      <c r="X24" s="260">
        <f t="shared" si="16"/>
        <v>1.9600000000000364</v>
      </c>
      <c r="Y24" s="247"/>
      <c r="Z24" s="228"/>
      <c r="AA24" s="228"/>
      <c r="AB24" s="228"/>
      <c r="AC24" s="248"/>
      <c r="AD24" s="253"/>
      <c r="AE24" s="243"/>
      <c r="AF24" s="229"/>
      <c r="AG24" s="244"/>
      <c r="AH24" s="247">
        <f t="shared" si="17"/>
        <v>0</v>
      </c>
      <c r="AI24" s="248">
        <f t="shared" si="18"/>
        <v>0</v>
      </c>
    </row>
    <row r="25" spans="1:35" x14ac:dyDescent="0.2">
      <c r="A25" s="334" t="s">
        <v>182</v>
      </c>
      <c r="B25" s="349">
        <v>92.77</v>
      </c>
      <c r="C25" s="183">
        <v>0.5</v>
      </c>
      <c r="D25" s="183">
        <f>IF(A25&lt;&gt;"",(C25/1000)*B25,"")</f>
        <v>4.6384999999999996E-2</v>
      </c>
      <c r="E25" s="183">
        <f t="shared" si="20"/>
        <v>145.41354999999999</v>
      </c>
      <c r="F25" s="183">
        <f t="shared" si="1"/>
        <v>145.45993499999997</v>
      </c>
      <c r="G25" s="183">
        <f t="shared" si="24"/>
        <v>145.45993499999997</v>
      </c>
      <c r="H25" s="350">
        <v>400</v>
      </c>
      <c r="I25" s="341">
        <f>IF(A25&lt;&gt;"",(K25-K26)/B25,"")</f>
        <v>1.4013150803060846E-2</v>
      </c>
      <c r="J25" s="185">
        <v>830</v>
      </c>
      <c r="K25" s="185">
        <v>828.04</v>
      </c>
      <c r="L25" s="185">
        <f>IF(A25&lt;&gt;"",J25-K25,"")</f>
        <v>1.9600000000000364</v>
      </c>
      <c r="M25" s="185">
        <f>IF(A25&lt;&gt;"",IF((1.14*((G25*$R$1/1000)^0.482)/(((H25/1000)^1.285)*(I25^0.241)))&lt;0.3,(1.14*((G25*$R$1/1000)^0.482)/(((H25/1000)^1.285)*(I25^0.241))),(1.97107*((G25*$R$1/1000)/(((H25/1000)^(8/3))*(I25^0.5)))+0.19066)),"")</f>
        <v>0.46949731730218824</v>
      </c>
      <c r="N25" s="348">
        <f>L26</f>
        <v>1.4900000000000091</v>
      </c>
      <c r="O25" s="185">
        <f>IF(A25&lt;&gt;"",76.923*(((H25/4000)*(1-(SIN(2*(-ATAN((1-2*M25)/SQRT(-(1-2*M25)*(1-2*M25)+1))+1.5708)))/(2*(-ATAN((1-2*M25)/SQRT(-(1-2*M25)*(1-2*M25)+1))+1.5708))))^0.167)*SQRT(((H25/4000)*(1-(SIN(2*(-ATAN((1-2*M25)/SQRT(-(1-2*M25)*(1-2*M25)+1))+1.5708)))/(2*(-ATAN((1-2*M25)/SQRT(-(1-2*M25)*(1-2*M25)+1))+1.5708))))*I25),"")</f>
        <v>1.9072143691968699</v>
      </c>
      <c r="P25" s="351">
        <f>IF(A25&lt;&gt;"",10000*I25*(H25/4000)*(1-(SIN(2*(-ATAN((1-2*M26)/SQRT(-(1-2*M26)*(1-2*M26)+1))+1.5708)))/(2*(-ATAN((1-2*M26)/SQRT(-(1-2*M26)*(1-2*M26)+1))+1.5708))),"")</f>
        <v>13.449712002158906</v>
      </c>
      <c r="Q25" s="348">
        <f>IF(A25&lt;&gt;"",6*SQRT(9.8*((H25/4000)*(1-(SIN(2*(-ATAN((1-2*M26)/SQRT(-(1-2*M26)*(1-2*M26)+1))+1.5708)))/(2*(-ATAN((1-2*M26)/SQRT(-(1-2*M26)*(1-2*M26)+1))+1.5708))))),"")</f>
        <v>5.8190606382086925</v>
      </c>
      <c r="R25" s="340">
        <f t="shared" ref="R25" si="31">IF(A25&lt;&gt;"",0.0055*(IF(E25&gt;1.5,E25,1.5))^-0.47,"")</f>
        <v>5.2958831883660501E-4</v>
      </c>
      <c r="T25" s="342" t="str">
        <f t="shared" ref="T25:U25" si="32">A25</f>
        <v>27-28</v>
      </c>
      <c r="U25" s="332">
        <f t="shared" si="32"/>
        <v>92.77</v>
      </c>
      <c r="V25" s="189">
        <f t="shared" si="14"/>
        <v>830</v>
      </c>
      <c r="W25" s="189">
        <f t="shared" si="15"/>
        <v>828.04</v>
      </c>
      <c r="X25" s="261">
        <f t="shared" si="16"/>
        <v>1.9600000000000364</v>
      </c>
      <c r="Y25" s="270">
        <f>AVERAGE(L25:L26)+SUM($Z$1:$Z$2)</f>
        <v>2.1250000000000226</v>
      </c>
      <c r="Z25" s="271" t="str">
        <f>IF(Y25&lt;=1.5,Y25*B25*$Z$3,"")</f>
        <v/>
      </c>
      <c r="AA25" s="271">
        <f>IF(AND(Y25&gt;1.5,Y25&lt;=3),Y25*B25*$Z$3,"")</f>
        <v>157.70900000000168</v>
      </c>
      <c r="AB25" s="271" t="str">
        <f>IF(AND(Y25&gt;3,Y25&lt;=4.5),Y25*B25*$Z$3,"")</f>
        <v/>
      </c>
      <c r="AC25" s="272" t="str">
        <f>IF(AND(Y25&gt;4.5,Y25&lt;=6),Y25*B25*$Z$3,"")</f>
        <v/>
      </c>
      <c r="AD25" s="249">
        <f>IF(AA25&lt;&gt;"",AVERAGE(L25:L26)*B25*2,"")</f>
        <v>320.05650000000418</v>
      </c>
      <c r="AE25" s="270">
        <f>IF(Y25&lt;&gt;"",1,"")</f>
        <v>1</v>
      </c>
      <c r="AF25" s="273">
        <f>IF(Y25&lt;&gt;"",0.5,"")</f>
        <v>0.5</v>
      </c>
      <c r="AG25" s="274">
        <f>IF(Y25&gt;1.85,Y25-1.85,"")</f>
        <v>0.27500000000002256</v>
      </c>
      <c r="AH25" s="270">
        <f t="shared" si="17"/>
        <v>5.5662000000000003</v>
      </c>
      <c r="AI25" s="272">
        <f t="shared" si="18"/>
        <v>16.698599999999999</v>
      </c>
    </row>
    <row r="26" spans="1:35" x14ac:dyDescent="0.2">
      <c r="A26" s="334"/>
      <c r="B26" s="349"/>
      <c r="C26" s="184">
        <v>0.5</v>
      </c>
      <c r="D26" s="184">
        <f>IF(A25&lt;&gt;"",(C26/1000)*B25,"")</f>
        <v>4.6384999999999996E-2</v>
      </c>
      <c r="E26" s="184">
        <f t="shared" si="20"/>
        <v>145.45993499999997</v>
      </c>
      <c r="F26" s="184">
        <f t="shared" si="1"/>
        <v>145.50631999999996</v>
      </c>
      <c r="G26" s="184">
        <f t="shared" si="24"/>
        <v>145.50631999999996</v>
      </c>
      <c r="H26" s="350"/>
      <c r="I26" s="350"/>
      <c r="J26" s="186">
        <v>828.23</v>
      </c>
      <c r="K26" s="186">
        <v>826.74</v>
      </c>
      <c r="L26" s="186">
        <f>IF(A25&lt;&gt;"",J26-K26,"")</f>
        <v>1.4900000000000091</v>
      </c>
      <c r="M26" s="186">
        <f>IF(A25&lt;&gt;"",IF((1.14*((G26*$R$1/1000)^0.482)/(((H25/1000)^1.285)*(I25^0.241)))&lt;0.3,(1.14*((G26*$R$1/1000)^0.482)/(((H25/1000)^1.285)*(I25^0.241))),(1.97107*((G26*$R$1/1000)/(((H25/1000)^(8/3))*(I25^0.5)))+0.19066)),"")</f>
        <v>0.46958623435665453</v>
      </c>
      <c r="N26" s="348"/>
      <c r="O26" s="186">
        <f>IF(A25&lt;&gt;"",76.923*(((H25/4000)*(1-(SIN(2*(-ATAN((1-2*M26)/SQRT(-(1-2*M26)*(1-2*M26)+1))+1.5708)))/(2*(-ATAN((1-2*M26)/SQRT(-(1-2*M26)*(1-2*M26)+1))+1.5708))))^0.167)*SQRT(((H25/4000)*(1-(SIN(2*(-ATAN((1-2*M26)/SQRT(-(1-2*M26)*(1-2*M26)+1))+1.5708)))/(2*(-ATAN((1-2*M26)/SQRT(-(1-2*M26)*(1-2*M26)+1))+1.5708))))*I25),"")</f>
        <v>1.9073759241650448</v>
      </c>
      <c r="P26" s="351"/>
      <c r="Q26" s="348"/>
      <c r="R26" s="341"/>
      <c r="T26" s="416"/>
      <c r="U26" s="422"/>
      <c r="V26" s="186">
        <f t="shared" si="14"/>
        <v>828.23</v>
      </c>
      <c r="W26" s="186">
        <f t="shared" si="15"/>
        <v>826.74</v>
      </c>
      <c r="X26" s="260">
        <f t="shared" si="16"/>
        <v>1.4900000000000091</v>
      </c>
      <c r="Y26" s="270"/>
      <c r="Z26" s="271"/>
      <c r="AA26" s="271"/>
      <c r="AB26" s="271"/>
      <c r="AC26" s="272"/>
      <c r="AD26" s="249"/>
      <c r="AE26" s="275"/>
      <c r="AF26" s="273"/>
      <c r="AG26" s="274"/>
      <c r="AH26" s="270">
        <f t="shared" si="17"/>
        <v>0</v>
      </c>
      <c r="AI26" s="272">
        <f t="shared" si="18"/>
        <v>0</v>
      </c>
    </row>
    <row r="27" spans="1:35" x14ac:dyDescent="0.2">
      <c r="A27" s="334" t="s">
        <v>183</v>
      </c>
      <c r="B27" s="349">
        <v>65.17</v>
      </c>
      <c r="C27" s="183">
        <v>0.5</v>
      </c>
      <c r="D27" s="183">
        <f>IF(A27&lt;&gt;"",(C27/1000)*B27,"")</f>
        <v>3.2585000000000003E-2</v>
      </c>
      <c r="E27" s="183">
        <f t="shared" si="20"/>
        <v>145.50631999999996</v>
      </c>
      <c r="F27" s="183">
        <f t="shared" si="1"/>
        <v>145.53890499999997</v>
      </c>
      <c r="G27" s="183">
        <f t="shared" si="24"/>
        <v>145.53890499999997</v>
      </c>
      <c r="H27" s="350">
        <v>400</v>
      </c>
      <c r="I27" s="341">
        <f>IF(A27&lt;&gt;"",(K27-K28)/B27,"")</f>
        <v>2.2402946140862919E-2</v>
      </c>
      <c r="J27" s="185">
        <v>828.23</v>
      </c>
      <c r="K27" s="185">
        <v>826.74</v>
      </c>
      <c r="L27" s="185">
        <f>IF(A27&lt;&gt;"",J27-K27,"")</f>
        <v>1.4900000000000091</v>
      </c>
      <c r="M27" s="185">
        <f>IF(A27&lt;&gt;"",IF((1.14*((G27*$R$1/1000)^0.482)/(((H27/1000)^1.285)*(I27^0.241)))&lt;0.3,(1.14*((G27*$R$1/1000)^0.482)/(((H27/1000)^1.285)*(I27^0.241))),(1.97107*((G27*$R$1/1000)/(((H27/1000)^(8/3))*(I27^0.5)))+0.19066)),"")</f>
        <v>0.41130898809381933</v>
      </c>
      <c r="N27" s="348">
        <f>L28+0.1</f>
        <v>2.3200000000000274</v>
      </c>
      <c r="O27" s="185">
        <f>IF(A27&lt;&gt;"",76.923*(((H27/4000)*(1-(SIN(2*(-ATAN((1-2*M27)/SQRT(-(1-2*M27)*(1-2*M27)+1))+1.5708)))/(2*(-ATAN((1-2*M27)/SQRT(-(1-2*M27)*(1-2*M27)+1))+1.5708))))^0.167)*SQRT(((H27/4000)*(1-(SIN(2*(-ATAN((1-2*M27)/SQRT(-(1-2*M27)*(1-2*M27)+1))+1.5708)))/(2*(-ATAN((1-2*M27)/SQRT(-(1-2*M27)*(1-2*M27)+1))+1.5708))))*I27),"")</f>
        <v>2.2667714688780127</v>
      </c>
      <c r="P27" s="351">
        <f>IF(A27&lt;&gt;"",10000*I27*(H27/4000)*(1-(SIN(2*(-ATAN((1-2*M28)/SQRT(-(1-2*M28)*(1-2*M28)+1))+1.5708)))/(2*(-ATAN((1-2*M28)/SQRT(-(1-2*M28)*(1-2*M28)+1))+1.5708))),"")</f>
        <v>19.596146973656367</v>
      </c>
      <c r="Q27" s="348">
        <f>IF(A27&lt;&gt;"",6*SQRT(9.8*((H27/4000)*(1-(SIN(2*(-ATAN((1-2*M28)/SQRT(-(1-2*M28)*(1-2*M28)+1))+1.5708)))/(2*(-ATAN((1-2*M28)/SQRT(-(1-2*M28)*(1-2*M28)+1))+1.5708))))),"")</f>
        <v>5.5551663040021708</v>
      </c>
      <c r="R27" s="340">
        <f t="shared" ref="R27" si="33">IF(A27&lt;&gt;"",0.0055*(IF(E27&gt;1.5,E27,1.5))^-0.47,"")</f>
        <v>5.2942959748661573E-4</v>
      </c>
      <c r="T27" s="342" t="str">
        <f t="shared" ref="T27:U27" si="34">A27</f>
        <v>28-29</v>
      </c>
      <c r="U27" s="332">
        <f t="shared" si="34"/>
        <v>65.17</v>
      </c>
      <c r="V27" s="189">
        <f t="shared" si="14"/>
        <v>828.23</v>
      </c>
      <c r="W27" s="189">
        <f t="shared" si="15"/>
        <v>826.74</v>
      </c>
      <c r="X27" s="261">
        <f t="shared" si="16"/>
        <v>1.4900000000000091</v>
      </c>
      <c r="Y27" s="245">
        <f>AVERAGE(L27:L28)+SUM($Z$1:$Z$2)</f>
        <v>2.2550000000000181</v>
      </c>
      <c r="Z27" s="226" t="str">
        <f>IF(Y27&lt;=1.5,Y27*B27*$Z$3,"")</f>
        <v/>
      </c>
      <c r="AA27" s="226">
        <f>IF(AND(Y27&gt;1.5,Y27&lt;=3),Y27*B27*$Z$3,"")</f>
        <v>117.56668000000096</v>
      </c>
      <c r="AB27" s="226" t="str">
        <f>IF(AND(Y27&gt;3,Y27&lt;=4.5),Y27*B27*$Z$3,"")</f>
        <v/>
      </c>
      <c r="AC27" s="250" t="str">
        <f>IF(AND(Y27&gt;4.5,Y27&lt;=6),Y27*B27*$Z$3,"")</f>
        <v/>
      </c>
      <c r="AD27" s="254">
        <f>IF(AA27&lt;&gt;"",AVERAGE(L27:L28)*B27*2,"")</f>
        <v>241.78070000000238</v>
      </c>
      <c r="AE27" s="245">
        <f>IF(Y27&lt;&gt;"",1,"")</f>
        <v>1</v>
      </c>
      <c r="AF27" s="227">
        <f>IF(Y27&lt;&gt;"",0.5,"")</f>
        <v>0.5</v>
      </c>
      <c r="AG27" s="246">
        <f>IF(Y27&gt;1.85,Y27-1.85,"")</f>
        <v>0.40500000000001801</v>
      </c>
      <c r="AH27" s="245">
        <f t="shared" si="17"/>
        <v>3.9101999999999997</v>
      </c>
      <c r="AI27" s="250">
        <f t="shared" si="18"/>
        <v>11.730599999999999</v>
      </c>
    </row>
    <row r="28" spans="1:35" x14ac:dyDescent="0.2">
      <c r="A28" s="334"/>
      <c r="B28" s="349"/>
      <c r="C28" s="184">
        <v>0.5</v>
      </c>
      <c r="D28" s="184">
        <f>IF(A27&lt;&gt;"",(C28/1000)*B27,"")</f>
        <v>3.2585000000000003E-2</v>
      </c>
      <c r="E28" s="184">
        <f t="shared" si="20"/>
        <v>145.53890499999997</v>
      </c>
      <c r="F28" s="184">
        <f t="shared" si="1"/>
        <v>145.57148999999998</v>
      </c>
      <c r="G28" s="184">
        <f t="shared" si="24"/>
        <v>145.57148999999998</v>
      </c>
      <c r="H28" s="350"/>
      <c r="I28" s="350"/>
      <c r="J28" s="186">
        <v>827.5</v>
      </c>
      <c r="K28" s="186">
        <v>825.28</v>
      </c>
      <c r="L28" s="186">
        <f>IF(A27&lt;&gt;"",J28-K28,"")</f>
        <v>2.2200000000000273</v>
      </c>
      <c r="M28" s="186">
        <f>IF(A27&lt;&gt;"",IF((1.14*((G28*$R$1/1000)^0.482)/(((H27/1000)^1.285)*(I27^0.241)))&lt;0.3,(1.14*((G28*$R$1/1000)^0.482)/(((H27/1000)^1.285)*(I27^0.241))),(1.97107*((G28*$R$1/1000)/(((H27/1000)^(8/3))*(I27^0.5)))+0.19066)),"")</f>
        <v>0.41135838964234028</v>
      </c>
      <c r="N28" s="348"/>
      <c r="O28" s="186">
        <f>IF(A27&lt;&gt;"",76.923*(((H27/4000)*(1-(SIN(2*(-ATAN((1-2*M28)/SQRT(-(1-2*M28)*(1-2*M28)+1))+1.5708)))/(2*(-ATAN((1-2*M28)/SQRT(-(1-2*M28)*(1-2*M28)+1))+1.5708))))^0.167)*SQRT(((H27/4000)*(1-(SIN(2*(-ATAN((1-2*M28)/SQRT(-(1-2*M28)*(1-2*M28)+1))+1.5708)))/(2*(-ATAN((1-2*M28)/SQRT(-(1-2*M28)*(1-2*M28)+1))+1.5708))))*I27),"")</f>
        <v>2.2669038748979053</v>
      </c>
      <c r="P28" s="351"/>
      <c r="Q28" s="348"/>
      <c r="R28" s="341"/>
      <c r="T28" s="416"/>
      <c r="U28" s="422"/>
      <c r="V28" s="186">
        <f t="shared" si="14"/>
        <v>827.5</v>
      </c>
      <c r="W28" s="186">
        <f t="shared" si="15"/>
        <v>825.28</v>
      </c>
      <c r="X28" s="260">
        <f t="shared" si="16"/>
        <v>2.2200000000000273</v>
      </c>
      <c r="Y28" s="247"/>
      <c r="Z28" s="228"/>
      <c r="AA28" s="228"/>
      <c r="AB28" s="228"/>
      <c r="AC28" s="248"/>
      <c r="AD28" s="253"/>
      <c r="AE28" s="243"/>
      <c r="AF28" s="229"/>
      <c r="AG28" s="244"/>
      <c r="AH28" s="247">
        <f t="shared" si="17"/>
        <v>0</v>
      </c>
      <c r="AI28" s="248">
        <f t="shared" si="18"/>
        <v>0</v>
      </c>
    </row>
    <row r="29" spans="1:35" x14ac:dyDescent="0.2">
      <c r="A29" s="334" t="s">
        <v>184</v>
      </c>
      <c r="B29" s="349">
        <v>68.959999999999994</v>
      </c>
      <c r="C29" s="183">
        <v>0.5</v>
      </c>
      <c r="D29" s="183">
        <f>IF(A29&lt;&gt;"",(C29/1000)*B29,"")</f>
        <v>3.4479999999999997E-2</v>
      </c>
      <c r="E29" s="183">
        <f t="shared" si="20"/>
        <v>145.57148999999998</v>
      </c>
      <c r="F29" s="183">
        <f t="shared" si="1"/>
        <v>145.60596999999999</v>
      </c>
      <c r="G29" s="183">
        <f t="shared" si="24"/>
        <v>145.60596999999999</v>
      </c>
      <c r="H29" s="350">
        <v>400</v>
      </c>
      <c r="I29" s="341">
        <f>IF(A29&lt;&gt;"",(K29-K30)/B29,"")</f>
        <v>6.5255220417623529E-3</v>
      </c>
      <c r="J29" s="185">
        <v>827.5</v>
      </c>
      <c r="K29" s="185">
        <v>825.28</v>
      </c>
      <c r="L29" s="185">
        <f>IF(A29&lt;&gt;"",J29-K29,"")</f>
        <v>2.2200000000000273</v>
      </c>
      <c r="M29" s="185">
        <f>IF(A29&lt;&gt;"",IF((1.14*((G29*$R$1/1000)^0.482)/(((H29/1000)^1.285)*(I29^0.241)))&lt;0.3,(1.14*((G29*$R$1/1000)^0.482)/(((H29/1000)^1.285)*(I29^0.241))),(1.97107*((G29*$R$1/1000)/(((H29/1000)^(8/3))*(I29^0.5)))+0.19066)),"")</f>
        <v>0.59968227110477024</v>
      </c>
      <c r="N29" s="348">
        <f>L30</f>
        <v>1.3099999999999454</v>
      </c>
      <c r="O29" s="185">
        <f>IF(A29&lt;&gt;"",76.923*(((H29/4000)*(1-(SIN(2*(-ATAN((1-2*M29)/SQRT(-(1-2*M29)*(1-2*M29)+1))+1.5708)))/(2*(-ATAN((1-2*M29)/SQRT(-(1-2*M29)*(1-2*M29)+1))+1.5708))))^0.167)*SQRT(((H29/4000)*(1-(SIN(2*(-ATAN((1-2*M29)/SQRT(-(1-2*M29)*(1-2*M29)+1))+1.5708)))/(2*(-ATAN((1-2*M29)/SQRT(-(1-2*M29)*(1-2*M29)+1))+1.5708))))*I29),"")</f>
        <v>1.43439207723119</v>
      </c>
      <c r="P29" s="351">
        <f>IF(A29&lt;&gt;"",10000*I29*(H29/4000)*(1-(SIN(2*(-ATAN((1-2*M30)/SQRT(-(1-2*M30)*(1-2*M30)+1))+1.5708)))/(2*(-ATAN((1-2*M30)/SQRT(-(1-2*M30)*(1-2*M30)+1))+1.5708))),"")</f>
        <v>7.2457601339358026</v>
      </c>
      <c r="Q29" s="348">
        <f>IF(A29&lt;&gt;"",6*SQRT(9.8*((H29/4000)*(1-(SIN(2*(-ATAN((1-2*M30)/SQRT(-(1-2*M30)*(1-2*M30)+1))+1.5708)))/(2*(-ATAN((1-2*M30)/SQRT(-(1-2*M30)*(1-2*M30)+1))+1.5708))))),"")</f>
        <v>6.2589089557817523</v>
      </c>
      <c r="R29" s="340">
        <f t="shared" ref="R29" si="35">IF(A29&lt;&gt;"",0.0055*(IF(E29&gt;1.5,E29,1.5))^-0.47,"")</f>
        <v>5.2931818624862652E-4</v>
      </c>
      <c r="T29" s="342" t="str">
        <f t="shared" ref="T29:U29" si="36">A29</f>
        <v>29-30</v>
      </c>
      <c r="U29" s="332">
        <f t="shared" si="36"/>
        <v>68.959999999999994</v>
      </c>
      <c r="V29" s="189">
        <f t="shared" si="14"/>
        <v>827.5</v>
      </c>
      <c r="W29" s="189">
        <f t="shared" si="15"/>
        <v>825.28</v>
      </c>
      <c r="X29" s="261">
        <f t="shared" si="16"/>
        <v>2.2200000000000273</v>
      </c>
      <c r="Y29" s="270">
        <f>AVERAGE(L29:L30)+SUM($Z$1:$Z$2)</f>
        <v>2.1649999999999863</v>
      </c>
      <c r="Z29" s="271" t="str">
        <f>IF(Y29&lt;=1.5,Y29*B29*$Z$3,"")</f>
        <v/>
      </c>
      <c r="AA29" s="271">
        <f>IF(AND(Y29&gt;1.5,Y29&lt;=3),Y29*B29*$Z$3,"")</f>
        <v>119.43871999999925</v>
      </c>
      <c r="AB29" s="271" t="str">
        <f>IF(AND(Y29&gt;3,Y29&lt;=4.5),Y29*B29*$Z$3,"")</f>
        <v/>
      </c>
      <c r="AC29" s="272" t="str">
        <f>IF(AND(Y29&gt;4.5,Y29&lt;=6),Y29*B29*$Z$3,"")</f>
        <v/>
      </c>
      <c r="AD29" s="249">
        <f>IF(AA29&lt;&gt;"",AVERAGE(L29:L30)*B29*2,"")</f>
        <v>243.42879999999809</v>
      </c>
      <c r="AE29" s="270">
        <f>IF(Y29&lt;&gt;"",1,"")</f>
        <v>1</v>
      </c>
      <c r="AF29" s="273">
        <f>IF(Y29&lt;&gt;"",0.5,"")</f>
        <v>0.5</v>
      </c>
      <c r="AG29" s="274">
        <f>IF(Y29&gt;1.85,Y29-1.85,"")</f>
        <v>0.31499999999998618</v>
      </c>
      <c r="AH29" s="270">
        <f t="shared" si="17"/>
        <v>4.1375999999999999</v>
      </c>
      <c r="AI29" s="272">
        <f t="shared" si="18"/>
        <v>12.412799999999999</v>
      </c>
    </row>
    <row r="30" spans="1:35" x14ac:dyDescent="0.2">
      <c r="A30" s="334"/>
      <c r="B30" s="349"/>
      <c r="C30" s="184">
        <v>0.5</v>
      </c>
      <c r="D30" s="184">
        <f>IF(A29&lt;&gt;"",(C30/1000)*B29,"")</f>
        <v>3.4479999999999997E-2</v>
      </c>
      <c r="E30" s="184">
        <f t="shared" si="20"/>
        <v>145.60596999999999</v>
      </c>
      <c r="F30" s="184">
        <f t="shared" si="1"/>
        <v>145.64044999999999</v>
      </c>
      <c r="G30" s="184">
        <f t="shared" si="24"/>
        <v>145.64044999999999</v>
      </c>
      <c r="H30" s="350"/>
      <c r="I30" s="350"/>
      <c r="J30" s="186">
        <v>826.14</v>
      </c>
      <c r="K30" s="186">
        <v>824.83</v>
      </c>
      <c r="L30" s="186">
        <f>IF(A29&lt;&gt;"",J30-K30,"")</f>
        <v>1.3099999999999454</v>
      </c>
      <c r="M30" s="186">
        <f>IF(A29&lt;&gt;"",IF((1.14*((G30*$R$1/1000)^0.482)/(((H29/1000)^1.285)*(I29^0.241)))&lt;0.3,(1.14*((G30*$R$1/1000)^0.482)/(((H29/1000)^1.285)*(I29^0.241))),(1.97107*((G30*$R$1/1000)/(((H29/1000)^(8/3))*(I29^0.5)))+0.19066)),"")</f>
        <v>0.5997791290008283</v>
      </c>
      <c r="N30" s="348"/>
      <c r="O30" s="186">
        <f>IF(A29&lt;&gt;"",76.923*(((H29/4000)*(1-(SIN(2*(-ATAN((1-2*M30)/SQRT(-(1-2*M30)*(1-2*M30)+1))+1.5708)))/(2*(-ATAN((1-2*M30)/SQRT(-(1-2*M30)*(1-2*M30)+1))+1.5708))))^0.167)*SQRT(((H29/4000)*(1-(SIN(2*(-ATAN((1-2*M30)/SQRT(-(1-2*M30)*(1-2*M30)+1))+1.5708)))/(2*(-ATAN((1-2*M30)/SQRT(-(1-2*M30)*(1-2*M30)+1))+1.5708))))*I29),"")</f>
        <v>1.4344699716338847</v>
      </c>
      <c r="P30" s="351"/>
      <c r="Q30" s="348"/>
      <c r="R30" s="341"/>
      <c r="T30" s="416"/>
      <c r="U30" s="422"/>
      <c r="V30" s="186">
        <f t="shared" si="14"/>
        <v>826.14</v>
      </c>
      <c r="W30" s="186">
        <f t="shared" si="15"/>
        <v>824.83</v>
      </c>
      <c r="X30" s="260">
        <f t="shared" si="16"/>
        <v>1.3099999999999454</v>
      </c>
      <c r="Y30" s="270"/>
      <c r="Z30" s="271"/>
      <c r="AA30" s="271"/>
      <c r="AB30" s="271"/>
      <c r="AC30" s="272"/>
      <c r="AD30" s="249"/>
      <c r="AE30" s="275"/>
      <c r="AF30" s="273"/>
      <c r="AG30" s="274"/>
      <c r="AH30" s="270">
        <f t="shared" si="17"/>
        <v>0</v>
      </c>
      <c r="AI30" s="272">
        <f t="shared" si="18"/>
        <v>0</v>
      </c>
    </row>
    <row r="31" spans="1:35" x14ac:dyDescent="0.2">
      <c r="A31" s="334" t="s">
        <v>185</v>
      </c>
      <c r="B31" s="349">
        <v>72.2</v>
      </c>
      <c r="C31" s="183">
        <v>0.5</v>
      </c>
      <c r="D31" s="183">
        <f>IF(A31&lt;&gt;"",(C31/1000)*B31,"")</f>
        <v>3.61E-2</v>
      </c>
      <c r="E31" s="183">
        <f t="shared" si="20"/>
        <v>145.64044999999999</v>
      </c>
      <c r="F31" s="183">
        <f t="shared" si="1"/>
        <v>145.67654999999999</v>
      </c>
      <c r="G31" s="183">
        <f t="shared" si="24"/>
        <v>145.67654999999999</v>
      </c>
      <c r="H31" s="350">
        <v>400</v>
      </c>
      <c r="I31" s="341">
        <f>IF(A31&lt;&gt;"",(K31-K32)/B31,"")</f>
        <v>6.2326869806100475E-3</v>
      </c>
      <c r="J31" s="185">
        <v>826.14</v>
      </c>
      <c r="K31" s="185">
        <v>824.83</v>
      </c>
      <c r="L31" s="185">
        <f>IF(A31&lt;&gt;"",J31-K31,"")</f>
        <v>1.3099999999999454</v>
      </c>
      <c r="M31" s="185">
        <f>IF(A31&lt;&gt;"",IF((1.14*((G31*$R$1/1000)^0.482)/(((H31/1000)^1.285)*(I31^0.241)))&lt;0.3,(1.14*((G31*$R$1/1000)^0.482)/(((H31/1000)^1.285)*(I31^0.241))),(1.97107*((G31*$R$1/1000)/(((H31/1000)^(8/3))*(I31^0.5)))+0.19066)),"")</f>
        <v>0.60938355643677544</v>
      </c>
      <c r="N31" s="348">
        <f t="shared" ref="N31" si="37">L32</f>
        <v>1.9900000000000091</v>
      </c>
      <c r="O31" s="185">
        <f>IF(A31&lt;&gt;"",76.923*(((H31/4000)*(1-(SIN(2*(-ATAN((1-2*M31)/SQRT(-(1-2*M31)*(1-2*M31)+1))+1.5708)))/(2*(-ATAN((1-2*M31)/SQRT(-(1-2*M31)*(1-2*M31)+1))+1.5708))))^0.167)*SQRT(((H31/4000)*(1-(SIN(2*(-ATAN((1-2*M31)/SQRT(-(1-2*M31)*(1-2*M31)+1))+1.5708)))/(2*(-ATAN((1-2*M31)/SQRT(-(1-2*M31)*(1-2*M31)+1))+1.5708))))*I31),"")</f>
        <v>1.4093113956600829</v>
      </c>
      <c r="P31" s="351">
        <f>IF(A31&lt;&gt;"",10000*I31*(H31/4000)*(1-(SIN(2*(-ATAN((1-2*M32)/SQRT(-(1-2*M32)*(1-2*M32)+1))+1.5708)))/(2*(-ATAN((1-2*M32)/SQRT(-(1-2*M32)*(1-2*M32)+1))+1.5708))),"")</f>
        <v>6.976003165161587</v>
      </c>
      <c r="Q31" s="348">
        <f>IF(A31&lt;&gt;"",6*SQRT(9.8*((H31/4000)*(1-(SIN(2*(-ATAN((1-2*M32)/SQRT(-(1-2*M32)*(1-2*M32)+1))+1.5708)))/(2*(-ATAN((1-2*M32)/SQRT(-(1-2*M32)*(1-2*M32)+1))+1.5708))))),"")</f>
        <v>6.2839101200072776</v>
      </c>
      <c r="R31" s="340">
        <f t="shared" ref="R31" si="38">IF(A31&lt;&gt;"",0.0055*(IF(E31&gt;1.5,E31,1.5))^-0.47,"")</f>
        <v>5.2920037563511792E-4</v>
      </c>
      <c r="T31" s="342" t="str">
        <f t="shared" ref="T31:U31" si="39">A31</f>
        <v>30-31</v>
      </c>
      <c r="U31" s="332">
        <f t="shared" si="39"/>
        <v>72.2</v>
      </c>
      <c r="V31" s="189">
        <f t="shared" si="14"/>
        <v>826.14</v>
      </c>
      <c r="W31" s="189">
        <f t="shared" si="15"/>
        <v>824.83</v>
      </c>
      <c r="X31" s="261">
        <f t="shared" si="16"/>
        <v>1.3099999999999454</v>
      </c>
      <c r="Y31" s="245">
        <f>AVERAGE(L31:L32)+SUM($Z$1:$Z$2)</f>
        <v>2.0499999999999772</v>
      </c>
      <c r="Z31" s="226" t="str">
        <f>IF(Y31&lt;=1.5,Y31*B31*$Z$3,"")</f>
        <v/>
      </c>
      <c r="AA31" s="226">
        <f>IF(AND(Y31&gt;1.5,Y31&lt;=3),Y31*B31*$Z$3,"")</f>
        <v>118.40799999999871</v>
      </c>
      <c r="AB31" s="226" t="str">
        <f>IF(AND(Y31&gt;3,Y31&lt;=4.5),Y31*B31*$Z$3,"")</f>
        <v/>
      </c>
      <c r="AC31" s="250" t="str">
        <f>IF(AND(Y31&gt;4.5,Y31&lt;=6),Y31*B31*$Z$3,"")</f>
        <v/>
      </c>
      <c r="AD31" s="254">
        <f>IF(AA31&lt;&gt;"",AVERAGE(L31:L32)*B31*2,"")</f>
        <v>238.25999999999672</v>
      </c>
      <c r="AE31" s="245">
        <f>IF(Y31&lt;&gt;"",1,"")</f>
        <v>1</v>
      </c>
      <c r="AF31" s="227">
        <f>IF(Y31&lt;&gt;"",0.5,"")</f>
        <v>0.5</v>
      </c>
      <c r="AG31" s="246">
        <f>IF(Y31&gt;1.85,Y31-1.85,"")</f>
        <v>0.19999999999997708</v>
      </c>
      <c r="AH31" s="245">
        <f t="shared" si="17"/>
        <v>4.3319999999999999</v>
      </c>
      <c r="AI31" s="250">
        <f t="shared" si="18"/>
        <v>12.996</v>
      </c>
    </row>
    <row r="32" spans="1:35" x14ac:dyDescent="0.2">
      <c r="A32" s="334"/>
      <c r="B32" s="349"/>
      <c r="C32" s="184">
        <v>0.5</v>
      </c>
      <c r="D32" s="184">
        <f>IF(A31&lt;&gt;"",(C32/1000)*B31,"")</f>
        <v>3.61E-2</v>
      </c>
      <c r="E32" s="184">
        <f t="shared" si="20"/>
        <v>145.67654999999999</v>
      </c>
      <c r="F32" s="184">
        <f t="shared" si="1"/>
        <v>145.71265</v>
      </c>
      <c r="G32" s="184">
        <f t="shared" si="24"/>
        <v>145.71265</v>
      </c>
      <c r="H32" s="350"/>
      <c r="I32" s="350"/>
      <c r="J32" s="186">
        <v>826.37</v>
      </c>
      <c r="K32" s="186">
        <v>824.38</v>
      </c>
      <c r="L32" s="186">
        <f>IF(A31&lt;&gt;"",J32-K32,"")</f>
        <v>1.9900000000000091</v>
      </c>
      <c r="M32" s="186">
        <f>IF(A31&lt;&gt;"",IF((1.14*((G32*$R$1/1000)^0.482)/(((H31/1000)^1.285)*(I31^0.241)))&lt;0.3,(1.14*((G32*$R$1/1000)^0.482)/(((H31/1000)^1.285)*(I31^0.241))),(1.97107*((G32*$R$1/1000)/(((H31/1000)^(8/3))*(I31^0.5)))+0.19066)),"")</f>
        <v>0.60948732001703165</v>
      </c>
      <c r="N32" s="348"/>
      <c r="O32" s="186">
        <f>IF(A31&lt;&gt;"",76.923*(((H31/4000)*(1-(SIN(2*(-ATAN((1-2*M32)/SQRT(-(1-2*M32)*(1-2*M32)+1))+1.5708)))/(2*(-ATAN((1-2*M32)/SQRT(-(1-2*M32)*(1-2*M32)+1))+1.5708))))^0.167)*SQRT(((H31/4000)*(1-(SIN(2*(-ATAN((1-2*M32)/SQRT(-(1-2*M32)*(1-2*M32)+1))+1.5708)))/(2*(-ATAN((1-2*M32)/SQRT(-(1-2*M32)*(1-2*M32)+1))+1.5708))))*I31),"")</f>
        <v>1.4093896691830967</v>
      </c>
      <c r="P32" s="351"/>
      <c r="Q32" s="348"/>
      <c r="R32" s="341"/>
      <c r="T32" s="416"/>
      <c r="U32" s="422"/>
      <c r="V32" s="186">
        <f t="shared" si="14"/>
        <v>826.37</v>
      </c>
      <c r="W32" s="186">
        <f t="shared" si="15"/>
        <v>824.38</v>
      </c>
      <c r="X32" s="260">
        <f t="shared" si="16"/>
        <v>1.9900000000000091</v>
      </c>
      <c r="Y32" s="247"/>
      <c r="Z32" s="228"/>
      <c r="AA32" s="228"/>
      <c r="AB32" s="228"/>
      <c r="AC32" s="248"/>
      <c r="AD32" s="253"/>
      <c r="AE32" s="243"/>
      <c r="AF32" s="229"/>
      <c r="AG32" s="244"/>
      <c r="AH32" s="247">
        <f t="shared" si="17"/>
        <v>0</v>
      </c>
      <c r="AI32" s="248">
        <f t="shared" si="18"/>
        <v>0</v>
      </c>
    </row>
    <row r="33" spans="1:35" x14ac:dyDescent="0.2">
      <c r="A33" s="334" t="s">
        <v>186</v>
      </c>
      <c r="B33" s="349">
        <v>100</v>
      </c>
      <c r="C33" s="183">
        <v>0.5</v>
      </c>
      <c r="D33" s="183">
        <f>IF(A33&lt;&gt;"",(C33/1000)*B33,"")</f>
        <v>0.05</v>
      </c>
      <c r="E33" s="183">
        <f t="shared" si="20"/>
        <v>145.71265</v>
      </c>
      <c r="F33" s="183">
        <f t="shared" si="1"/>
        <v>145.76265000000001</v>
      </c>
      <c r="G33" s="183">
        <f t="shared" si="24"/>
        <v>145.76265000000001</v>
      </c>
      <c r="H33" s="350">
        <v>400</v>
      </c>
      <c r="I33" s="341">
        <f>IF(A33&lt;&gt;"",(K33-K34)/B33,"")</f>
        <v>5.9000000000003182E-3</v>
      </c>
      <c r="J33" s="185">
        <v>826.37</v>
      </c>
      <c r="K33" s="185">
        <v>824.38</v>
      </c>
      <c r="L33" s="185">
        <f>IF(A33&lt;&gt;"",J33-K33,"")</f>
        <v>1.9900000000000091</v>
      </c>
      <c r="M33" s="185">
        <f>IF(A33&lt;&gt;"",IF((1.14*((G33*$R$1/1000)^0.482)/(((H33/1000)^1.285)*(I33^0.241)))&lt;0.3,(1.14*((G33*$R$1/1000)^0.482)/(((H33/1000)^1.285)*(I33^0.241))),(1.97107*((G33*$R$1/1000)/(((H33/1000)^(8/3))*(I33^0.5)))+0.19066)),"")</f>
        <v>0.62128144493303794</v>
      </c>
      <c r="N33" s="348">
        <f t="shared" ref="N33" si="40">L34</f>
        <v>2.0300000000000864</v>
      </c>
      <c r="O33" s="185">
        <f>IF(A33&lt;&gt;"",76.923*(((H33/4000)*(1-(SIN(2*(-ATAN((1-2*M33)/SQRT(-(1-2*M33)*(1-2*M33)+1))+1.5708)))/(2*(-ATAN((1-2*M33)/SQRT(-(1-2*M33)*(1-2*M33)+1))+1.5708))))^0.167)*SQRT(((H33/4000)*(1-(SIN(2*(-ATAN((1-2*M33)/SQRT(-(1-2*M33)*(1-2*M33)+1))+1.5708)))/(2*(-ATAN((1-2*M33)/SQRT(-(1-2*M33)*(1-2*M33)+1))+1.5708))))*I33),"")</f>
        <v>1.3796917876473267</v>
      </c>
      <c r="P33" s="351">
        <f>IF(A33&lt;&gt;"",10000*I33*(H33/4000)*(1-(SIN(2*(-ATAN((1-2*M34)/SQRT(-(1-2*M34)*(1-2*M34)+1))+1.5708)))/(2*(-ATAN((1-2*M34)/SQRT(-(1-2*M34)*(1-2*M34)+1))+1.5708))),"")</f>
        <v>6.6653637574987474</v>
      </c>
      <c r="Q33" s="348">
        <f>IF(A33&lt;&gt;"",6*SQRT(9.8*((H33/4000)*(1-(SIN(2*(-ATAN((1-2*M34)/SQRT(-(1-2*M34)*(1-2*M34)+1))+1.5708)))/(2*(-ATAN((1-2*M34)/SQRT(-(1-2*M34)*(1-2*M34)+1))+1.5708))))),"")</f>
        <v>6.3132096293801965</v>
      </c>
      <c r="R33" s="340">
        <f t="shared" ref="R33" si="41">IF(A33&lt;&gt;"",0.0055*(IF(E33&gt;1.5,E33,1.5))^-0.47,"")</f>
        <v>5.2907711767413929E-4</v>
      </c>
      <c r="T33" s="342" t="str">
        <f t="shared" ref="T33:U33" si="42">A33</f>
        <v>31-32</v>
      </c>
      <c r="U33" s="332">
        <f t="shared" si="42"/>
        <v>100</v>
      </c>
      <c r="V33" s="189">
        <f t="shared" si="14"/>
        <v>826.37</v>
      </c>
      <c r="W33" s="189">
        <f t="shared" si="15"/>
        <v>824.38</v>
      </c>
      <c r="X33" s="261">
        <f t="shared" si="16"/>
        <v>1.9900000000000091</v>
      </c>
      <c r="Y33" s="270">
        <f>AVERAGE(L33:L34)+SUM($Z$1:$Z$2)</f>
        <v>2.4100000000000477</v>
      </c>
      <c r="Z33" s="271" t="str">
        <f>IF(Y33&lt;=1.5,Y33*B33*$Z$3,"")</f>
        <v/>
      </c>
      <c r="AA33" s="271">
        <f>IF(AND(Y33&gt;1.5,Y33&lt;=3),Y33*B33*$Z$3,"")</f>
        <v>192.80000000000382</v>
      </c>
      <c r="AB33" s="271" t="str">
        <f>IF(AND(Y33&gt;3,Y33&lt;=4.5),Y33*B33*$Z$3,"")</f>
        <v/>
      </c>
      <c r="AC33" s="272" t="str">
        <f>IF(AND(Y33&gt;4.5,Y33&lt;=6),Y33*B33*$Z$3,"")</f>
        <v/>
      </c>
      <c r="AD33" s="249">
        <f>IF(AA33&lt;&gt;"",AVERAGE(L33:L34)*B33*2,"")</f>
        <v>402.00000000000955</v>
      </c>
      <c r="AE33" s="270">
        <f>IF(Y33&lt;&gt;"",1,"")</f>
        <v>1</v>
      </c>
      <c r="AF33" s="273">
        <f>IF(Y33&lt;&gt;"",0.5,"")</f>
        <v>0.5</v>
      </c>
      <c r="AG33" s="274">
        <f>IF(Y33&gt;1.85,Y33-1.85,"")</f>
        <v>0.56000000000004757</v>
      </c>
      <c r="AH33" s="270">
        <f t="shared" si="17"/>
        <v>6</v>
      </c>
      <c r="AI33" s="272">
        <f t="shared" si="18"/>
        <v>18</v>
      </c>
    </row>
    <row r="34" spans="1:35" x14ac:dyDescent="0.2">
      <c r="A34" s="334"/>
      <c r="B34" s="349"/>
      <c r="C34" s="184">
        <v>0.5</v>
      </c>
      <c r="D34" s="184">
        <f>IF(A33&lt;&gt;"",(C34/1000)*B33,"")</f>
        <v>0.05</v>
      </c>
      <c r="E34" s="184">
        <f t="shared" si="20"/>
        <v>145.76265000000001</v>
      </c>
      <c r="F34" s="184">
        <f t="shared" si="1"/>
        <v>145.81265000000002</v>
      </c>
      <c r="G34" s="184">
        <f t="shared" si="24"/>
        <v>145.81265000000002</v>
      </c>
      <c r="H34" s="350"/>
      <c r="I34" s="350"/>
      <c r="J34" s="186">
        <v>825.82</v>
      </c>
      <c r="K34" s="186">
        <v>823.79</v>
      </c>
      <c r="L34" s="186">
        <f>IF(A33&lt;&gt;"",J34-K34,"")</f>
        <v>2.0300000000000864</v>
      </c>
      <c r="M34" s="186">
        <f>IF(A33&lt;&gt;"",IF((1.14*((G34*$R$1/1000)^0.482)/(((H33/1000)^1.285)*(I33^0.241)))&lt;0.3,(1.14*((G34*$R$1/1000)^0.482)/(((H33/1000)^1.285)*(I33^0.241))),(1.97107*((G34*$R$1/1000)/(((H33/1000)^(8/3))*(I33^0.5)))+0.19066)),"")</f>
        <v>0.62142915816579436</v>
      </c>
      <c r="N34" s="348"/>
      <c r="O34" s="186">
        <f>IF(A33&lt;&gt;"",76.923*(((H33/4000)*(1-(SIN(2*(-ATAN((1-2*M34)/SQRT(-(1-2*M34)*(1-2*M34)+1))+1.5708)))/(2*(-ATAN((1-2*M34)/SQRT(-(1-2*M34)*(1-2*M34)+1))+1.5708))))^0.167)*SQRT(((H33/4000)*(1-(SIN(2*(-ATAN((1-2*M34)/SQRT(-(1-2*M34)*(1-2*M34)+1))+1.5708)))/(2*(-ATAN((1-2*M34)/SQRT(-(1-2*M34)*(1-2*M34)+1))+1.5708))))*I33),"")</f>
        <v>1.3797945944877403</v>
      </c>
      <c r="P34" s="351"/>
      <c r="Q34" s="348"/>
      <c r="R34" s="341"/>
      <c r="T34" s="416"/>
      <c r="U34" s="422"/>
      <c r="V34" s="186">
        <f t="shared" si="14"/>
        <v>825.82</v>
      </c>
      <c r="W34" s="186">
        <f t="shared" si="15"/>
        <v>823.79</v>
      </c>
      <c r="X34" s="260">
        <f t="shared" si="16"/>
        <v>2.0300000000000864</v>
      </c>
      <c r="Y34" s="270"/>
      <c r="Z34" s="271"/>
      <c r="AA34" s="271"/>
      <c r="AB34" s="271"/>
      <c r="AC34" s="272"/>
      <c r="AD34" s="249"/>
      <c r="AE34" s="275"/>
      <c r="AF34" s="273"/>
      <c r="AG34" s="274"/>
      <c r="AH34" s="270">
        <f t="shared" si="17"/>
        <v>0</v>
      </c>
      <c r="AI34" s="272">
        <f t="shared" si="18"/>
        <v>0</v>
      </c>
    </row>
    <row r="35" spans="1:35" x14ac:dyDescent="0.2">
      <c r="A35" s="334" t="s">
        <v>187</v>
      </c>
      <c r="B35" s="349">
        <v>99.75</v>
      </c>
      <c r="C35" s="183">
        <v>0.5</v>
      </c>
      <c r="D35" s="183">
        <f>IF(A35&lt;&gt;"",(C35/1000)*B35,"")</f>
        <v>4.9875000000000003E-2</v>
      </c>
      <c r="E35" s="183">
        <f t="shared" si="20"/>
        <v>145.81265000000002</v>
      </c>
      <c r="F35" s="183">
        <f t="shared" si="1"/>
        <v>145.86252500000001</v>
      </c>
      <c r="G35" s="183">
        <f t="shared" si="24"/>
        <v>145.86252500000001</v>
      </c>
      <c r="H35" s="350">
        <v>400</v>
      </c>
      <c r="I35" s="341">
        <f>IF(A35&lt;&gt;"",(K35-K36)/B35,"")</f>
        <v>5.6140350877187514E-3</v>
      </c>
      <c r="J35" s="185">
        <v>825.82</v>
      </c>
      <c r="K35" s="185">
        <v>823.79</v>
      </c>
      <c r="L35" s="185">
        <f>IF(A35&lt;&gt;"",J35-K35,"")</f>
        <v>2.0300000000000864</v>
      </c>
      <c r="M35" s="185">
        <f>IF(A35&lt;&gt;"",IF((1.14*((G35*$R$1/1000)^0.482)/(((H35/1000)^1.285)*(I35^0.241)))&lt;0.3,(1.14*((G35*$R$1/1000)^0.482)/(((H35/1000)^1.285)*(I35^0.241))),(1.97107*((G35*$R$1/1000)/(((H35/1000)^(8/3))*(I35^0.5)))+0.19066)),"")</f>
        <v>0.63241509827566245</v>
      </c>
      <c r="N35" s="348">
        <f t="shared" ref="N35" si="43">L36</f>
        <v>1.7400000000000091</v>
      </c>
      <c r="O35" s="185">
        <f>IF(A35&lt;&gt;"",76.923*(((H35/4000)*(1-(SIN(2*(-ATAN((1-2*M35)/SQRT(-(1-2*M35)*(1-2*M35)+1))+1.5708)))/(2*(-ATAN((1-2*M35)/SQRT(-(1-2*M35)*(1-2*M35)+1))+1.5708))))^0.167)*SQRT(((H35/4000)*(1-(SIN(2*(-ATAN((1-2*M35)/SQRT(-(1-2*M35)*(1-2*M35)+1))+1.5708)))/(2*(-ATAN((1-2*M35)/SQRT(-(1-2*M35)*(1-2*M35)+1))+1.5708))))*I35),"")</f>
        <v>1.3532085846914792</v>
      </c>
      <c r="P35" s="351">
        <f>IF(A35&lt;&gt;"",10000*I35*(H35/4000)*(1-(SIN(2*(-ATAN((1-2*M36)/SQRT(-(1-2*M36)*(1-2*M36)+1))+1.5708)))/(2*(-ATAN((1-2*M36)/SQRT(-(1-2*M36)*(1-2*M36)+1))+1.5708))),"")</f>
        <v>6.3944051766673891</v>
      </c>
      <c r="Q35" s="348">
        <f>IF(A35&lt;&gt;"",6*SQRT(9.8*((H35/4000)*(1-(SIN(2*(-ATAN((1-2*M36)/SQRT(-(1-2*M36)*(1-2*M36)+1))+1.5708)))/(2*(-ATAN((1-2*M36)/SQRT(-(1-2*M36)*(1-2*M36)+1))+1.5708))))),"")</f>
        <v>6.3390883202141888</v>
      </c>
      <c r="R35" s="340">
        <f t="shared" ref="R35" si="44">IF(A35&lt;&gt;"",0.0055*(IF(E35&gt;1.5,E35,1.5))^-0.47,"")</f>
        <v>5.2890654848570531E-4</v>
      </c>
      <c r="T35" s="342" t="str">
        <f t="shared" ref="T35:U35" si="45">A35</f>
        <v>32-33</v>
      </c>
      <c r="U35" s="332">
        <f t="shared" si="45"/>
        <v>99.75</v>
      </c>
      <c r="V35" s="189">
        <f t="shared" si="14"/>
        <v>825.82</v>
      </c>
      <c r="W35" s="189">
        <f t="shared" si="15"/>
        <v>823.79</v>
      </c>
      <c r="X35" s="261">
        <f t="shared" si="16"/>
        <v>2.0300000000000864</v>
      </c>
      <c r="Y35" s="245">
        <f>AVERAGE(L35:L36)+SUM($Z$1:$Z$2)</f>
        <v>2.2850000000000477</v>
      </c>
      <c r="Z35" s="226" t="str">
        <f>IF(Y35&lt;=1.5,Y35*B35*$Z$3,"")</f>
        <v/>
      </c>
      <c r="AA35" s="226">
        <f>IF(AND(Y35&gt;1.5,Y35&lt;=3),Y35*B35*$Z$3,"")</f>
        <v>182.34300000000383</v>
      </c>
      <c r="AB35" s="226" t="str">
        <f>IF(AND(Y35&gt;3,Y35&lt;=4.5),Y35*B35*$Z$3,"")</f>
        <v/>
      </c>
      <c r="AC35" s="250" t="str">
        <f>IF(AND(Y35&gt;4.5,Y35&lt;=6),Y35*B35*$Z$3,"")</f>
        <v/>
      </c>
      <c r="AD35" s="254">
        <f>IF(AA35&lt;&gt;"",AVERAGE(L35:L36)*B35*2,"")</f>
        <v>376.05750000000955</v>
      </c>
      <c r="AE35" s="245">
        <f>IF(Y35&lt;&gt;"",1,"")</f>
        <v>1</v>
      </c>
      <c r="AF35" s="227">
        <f>IF(Y35&lt;&gt;"",0.5,"")</f>
        <v>0.5</v>
      </c>
      <c r="AG35" s="246">
        <f>IF(Y35&gt;1.85,Y35-1.85,"")</f>
        <v>0.43500000000004757</v>
      </c>
      <c r="AH35" s="245">
        <f t="shared" si="17"/>
        <v>5.9849999999999994</v>
      </c>
      <c r="AI35" s="250">
        <f t="shared" si="18"/>
        <v>17.954999999999998</v>
      </c>
    </row>
    <row r="36" spans="1:35" x14ac:dyDescent="0.2">
      <c r="A36" s="334"/>
      <c r="B36" s="349"/>
      <c r="C36" s="184">
        <v>0.5</v>
      </c>
      <c r="D36" s="184">
        <f>IF(A35&lt;&gt;"",(C36/1000)*B35,"")</f>
        <v>4.9875000000000003E-2</v>
      </c>
      <c r="E36" s="184">
        <f t="shared" si="20"/>
        <v>145.86252500000001</v>
      </c>
      <c r="F36" s="184">
        <f t="shared" si="1"/>
        <v>145.91239999999999</v>
      </c>
      <c r="G36" s="184">
        <f t="shared" si="24"/>
        <v>145.91239999999999</v>
      </c>
      <c r="H36" s="350"/>
      <c r="I36" s="350"/>
      <c r="J36" s="186">
        <v>824.97</v>
      </c>
      <c r="K36" s="186">
        <v>823.23</v>
      </c>
      <c r="L36" s="186">
        <f>IF(A35&lt;&gt;"",J36-K36,"")</f>
        <v>1.7400000000000091</v>
      </c>
      <c r="M36" s="186">
        <f>IF(A35&lt;&gt;"",IF((1.14*((G36*$R$1/1000)^0.482)/(((H35/1000)^1.285)*(I35^0.241)))&lt;0.3,(1.14*((G36*$R$1/1000)^0.482)/(((H35/1000)^1.285)*(I35^0.241))),(1.97107*((G36*$R$1/1000)/(((H35/1000)^(8/3))*(I35^0.5)))+0.19066)),"")</f>
        <v>0.63256614828337676</v>
      </c>
      <c r="N36" s="348"/>
      <c r="O36" s="186">
        <f>IF(A35&lt;&gt;"",76.923*(((H35/4000)*(1-(SIN(2*(-ATAN((1-2*M36)/SQRT(-(1-2*M36)*(1-2*M36)+1))+1.5708)))/(2*(-ATAN((1-2*M36)/SQRT(-(1-2*M36)*(1-2*M36)+1))+1.5708))))^0.167)*SQRT(((H35/4000)*(1-(SIN(2*(-ATAN((1-2*M36)/SQRT(-(1-2*M36)*(1-2*M36)+1))+1.5708)))/(2*(-ATAN((1-2*M36)/SQRT(-(1-2*M36)*(1-2*M36)+1))+1.5708))))*I35),"")</f>
        <v>1.3533058806418725</v>
      </c>
      <c r="P36" s="351"/>
      <c r="Q36" s="348"/>
      <c r="R36" s="341"/>
      <c r="T36" s="416"/>
      <c r="U36" s="422"/>
      <c r="V36" s="186">
        <f t="shared" si="14"/>
        <v>824.97</v>
      </c>
      <c r="W36" s="186">
        <f t="shared" si="15"/>
        <v>823.23</v>
      </c>
      <c r="X36" s="260">
        <f t="shared" si="16"/>
        <v>1.7400000000000091</v>
      </c>
      <c r="Y36" s="247"/>
      <c r="Z36" s="228"/>
      <c r="AA36" s="228"/>
      <c r="AB36" s="228"/>
      <c r="AC36" s="248"/>
      <c r="AD36" s="253"/>
      <c r="AE36" s="243"/>
      <c r="AF36" s="229"/>
      <c r="AG36" s="244"/>
      <c r="AH36" s="247">
        <f t="shared" si="17"/>
        <v>0</v>
      </c>
      <c r="AI36" s="248">
        <f t="shared" si="18"/>
        <v>0</v>
      </c>
    </row>
    <row r="37" spans="1:35" x14ac:dyDescent="0.2">
      <c r="A37" s="334" t="s">
        <v>188</v>
      </c>
      <c r="B37" s="355">
        <v>99.9</v>
      </c>
      <c r="C37" s="183">
        <v>0.5</v>
      </c>
      <c r="D37" s="183">
        <f>IF(A37&lt;&gt;"",(C37/1000)*B37,"")</f>
        <v>4.9950000000000001E-2</v>
      </c>
      <c r="E37" s="183">
        <f t="shared" si="20"/>
        <v>145.91239999999999</v>
      </c>
      <c r="F37" s="183">
        <f t="shared" si="1"/>
        <v>145.96234999999999</v>
      </c>
      <c r="G37" s="183">
        <f t="shared" si="24"/>
        <v>145.96234999999999</v>
      </c>
      <c r="H37" s="353">
        <v>400</v>
      </c>
      <c r="I37" s="357">
        <f>IF(A37&lt;&gt;"",(K37-K38)/B37,"")</f>
        <v>6.0060060060062332E-3</v>
      </c>
      <c r="J37" s="185">
        <v>824.97</v>
      </c>
      <c r="K37" s="185">
        <v>823.23</v>
      </c>
      <c r="L37" s="185">
        <f>IF(A37&lt;&gt;"",J37-K37,"")</f>
        <v>1.7400000000000091</v>
      </c>
      <c r="M37" s="185">
        <f>IF(A37&lt;&gt;"",IF((1.14*((G37*$R$1/1000)^0.482)/(((H37/1000)^1.285)*(I37^0.241)))&lt;0.3,(1.14*((G37*$R$1/1000)^0.482)/(((H37/1000)^1.285)*(I37^0.241))),(1.97107*((G37*$R$1/1000)/(((H37/1000)^(8/3))*(I37^0.5)))+0.19066)),"")</f>
        <v>0.61804902953013119</v>
      </c>
      <c r="N37" s="358">
        <f t="shared" ref="N37" si="46">L38</f>
        <v>2.3700000000000045</v>
      </c>
      <c r="O37" s="185">
        <f>IF(A37&lt;&gt;"",76.923*(((H37/4000)*(1-(SIN(2*(-ATAN((1-2*M37)/SQRT(-(1-2*M37)*(1-2*M37)+1))+1.5708)))/(2*(-ATAN((1-2*M37)/SQRT(-(1-2*M37)*(1-2*M37)+1))+1.5708))))^0.167)*SQRT(((H37/4000)*(1-(SIN(2*(-ATAN((1-2*M37)/SQRT(-(1-2*M37)*(1-2*M37)+1))+1.5708)))/(2*(-ATAN((1-2*M37)/SQRT(-(1-2*M37)*(1-2*M37)+1))+1.5708))))*I37),"")</f>
        <v>1.3897437185766963</v>
      </c>
      <c r="P37" s="360">
        <f>IF(A37&lt;&gt;"",10000*I37*(H37/4000)*(1-(SIN(2*(-ATAN((1-2*M38)/SQRT(-(1-2*M38)*(1-2*M38)+1))+1.5708)))/(2*(-ATAN((1-2*M38)/SQRT(-(1-2*M38)*(1-2*M38)+1))+1.5708))),"")</f>
        <v>6.7684169352958321</v>
      </c>
      <c r="Q37" s="358">
        <f>IF(A37&lt;&gt;"",6*SQRT(9.8*((H37/4000)*(1-(SIN(2*(-ATAN((1-2*M38)/SQRT(-(1-2*M38)*(1-2*M38)+1))+1.5708)))/(2*(-ATAN((1-2*M38)/SQRT(-(1-2*M38)*(1-2*M38)+1))+1.5708))))),"")</f>
        <v>6.3054336320318569</v>
      </c>
      <c r="R37" s="340">
        <f t="shared" ref="R37" si="47">IF(A37&lt;&gt;"",0.0055*(IF(E37&gt;1.5,E37,1.5))^-0.47,"")</f>
        <v>5.2873657694800676E-4</v>
      </c>
      <c r="T37" s="342" t="str">
        <f t="shared" ref="T37:U37" si="48">A37</f>
        <v>33-34</v>
      </c>
      <c r="U37" s="332">
        <f t="shared" si="48"/>
        <v>99.9</v>
      </c>
      <c r="V37" s="189">
        <f t="shared" si="14"/>
        <v>824.97</v>
      </c>
      <c r="W37" s="189">
        <f t="shared" si="15"/>
        <v>823.23</v>
      </c>
      <c r="X37" s="261">
        <f t="shared" si="16"/>
        <v>1.7400000000000091</v>
      </c>
      <c r="Y37" s="270">
        <f>AVERAGE(L37:L38)+SUM($Z$1:$Z$2)</f>
        <v>2.4550000000000067</v>
      </c>
      <c r="Z37" s="271" t="str">
        <f>IF(Y37&lt;=1.5,Y37*B37*$Z$3,"")</f>
        <v/>
      </c>
      <c r="AA37" s="271">
        <f>IF(AND(Y37&gt;1.5,Y37&lt;=3),Y37*B37*$Z$3,"")</f>
        <v>196.20360000000056</v>
      </c>
      <c r="AB37" s="271" t="str">
        <f>IF(AND(Y37&gt;3,Y37&lt;=4.5),Y37*B37*$Z$3,"")</f>
        <v/>
      </c>
      <c r="AC37" s="272" t="str">
        <f>IF(AND(Y37&gt;4.5,Y37&lt;=6),Y37*B37*$Z$3,"")</f>
        <v/>
      </c>
      <c r="AD37" s="249">
        <f>IF(AA37&lt;&gt;"",AVERAGE(L37:L38)*B37*2,"")</f>
        <v>410.58900000000136</v>
      </c>
      <c r="AE37" s="270">
        <f>IF(Y37&lt;&gt;"",1,"")</f>
        <v>1</v>
      </c>
      <c r="AF37" s="273">
        <f>IF(Y37&lt;&gt;"",0.5,"")</f>
        <v>0.5</v>
      </c>
      <c r="AG37" s="274">
        <f>IF(Y37&gt;1.85,Y37-1.85,"")</f>
        <v>0.60500000000000664</v>
      </c>
      <c r="AH37" s="270">
        <f t="shared" si="17"/>
        <v>5.9939999999999998</v>
      </c>
      <c r="AI37" s="272">
        <f t="shared" si="18"/>
        <v>17.981999999999999</v>
      </c>
    </row>
    <row r="38" spans="1:35" x14ac:dyDescent="0.2">
      <c r="A38" s="334"/>
      <c r="B38" s="356"/>
      <c r="C38" s="184">
        <v>0.5</v>
      </c>
      <c r="D38" s="184">
        <f>IF(A37&lt;&gt;"",(C38/1000)*B37,"")</f>
        <v>4.9950000000000001E-2</v>
      </c>
      <c r="E38" s="184">
        <f t="shared" si="20"/>
        <v>145.96234999999999</v>
      </c>
      <c r="F38" s="184">
        <f t="shared" si="1"/>
        <v>146.01229999999998</v>
      </c>
      <c r="G38" s="184">
        <f t="shared" si="24"/>
        <v>146.01229999999998</v>
      </c>
      <c r="H38" s="354"/>
      <c r="I38" s="354"/>
      <c r="J38" s="186">
        <v>825</v>
      </c>
      <c r="K38" s="186">
        <v>822.63</v>
      </c>
      <c r="L38" s="186">
        <f>IF(A37&lt;&gt;"",J38-K38,"")</f>
        <v>2.3700000000000045</v>
      </c>
      <c r="M38" s="186">
        <f>IF(A37&lt;&gt;"",IF((1.14*((G38*$R$1/1000)^0.482)/(((H37/1000)^1.285)*(I37^0.241)))&lt;0.3,(1.14*((G38*$R$1/1000)^0.482)/(((H37/1000)^1.285)*(I37^0.241))),(1.97107*((G38*$R$1/1000)/(((H37/1000)^(8/3))*(I37^0.5)))+0.19066)),"")</f>
        <v>0.61819528698642057</v>
      </c>
      <c r="N38" s="359"/>
      <c r="O38" s="186">
        <f>IF(A37&lt;&gt;"",76.923*(((H37/4000)*(1-(SIN(2*(-ATAN((1-2*M38)/SQRT(-(1-2*M38)*(1-2*M38)+1))+1.5708)))/(2*(-ATAN((1-2*M38)/SQRT(-(1-2*M38)*(1-2*M38)+1))+1.5708))))^0.167)*SQRT(((H37/4000)*(1-(SIN(2*(-ATAN((1-2*M38)/SQRT(-(1-2*M38)*(1-2*M38)+1))+1.5708)))/(2*(-ATAN((1-2*M38)/SQRT(-(1-2*M38)*(1-2*M38)+1))+1.5708))))*I37),"")</f>
        <v>1.3898479444927381</v>
      </c>
      <c r="P38" s="361"/>
      <c r="Q38" s="359"/>
      <c r="R38" s="341"/>
      <c r="T38" s="416"/>
      <c r="U38" s="422"/>
      <c r="V38" s="186">
        <f t="shared" si="14"/>
        <v>825</v>
      </c>
      <c r="W38" s="186">
        <f t="shared" si="15"/>
        <v>822.63</v>
      </c>
      <c r="X38" s="260">
        <f t="shared" si="16"/>
        <v>2.3700000000000045</v>
      </c>
      <c r="Y38" s="270"/>
      <c r="Z38" s="271"/>
      <c r="AA38" s="271"/>
      <c r="AB38" s="271"/>
      <c r="AC38" s="272"/>
      <c r="AD38" s="249"/>
      <c r="AE38" s="275"/>
      <c r="AF38" s="273"/>
      <c r="AG38" s="274"/>
      <c r="AH38" s="270">
        <f t="shared" si="17"/>
        <v>0</v>
      </c>
      <c r="AI38" s="272">
        <f t="shared" si="18"/>
        <v>0</v>
      </c>
    </row>
    <row r="39" spans="1:35" x14ac:dyDescent="0.2">
      <c r="A39" s="334" t="s">
        <v>189</v>
      </c>
      <c r="B39" s="349">
        <v>100.44</v>
      </c>
      <c r="C39" s="183">
        <v>0.5</v>
      </c>
      <c r="D39" s="183">
        <f>IF(A39&lt;&gt;"",(C39/1000)*B39,"")</f>
        <v>5.0220000000000001E-2</v>
      </c>
      <c r="E39" s="183">
        <f t="shared" si="20"/>
        <v>146.01229999999998</v>
      </c>
      <c r="F39" s="183">
        <f t="shared" si="1"/>
        <v>146.06251999999998</v>
      </c>
      <c r="G39" s="183">
        <f t="shared" si="24"/>
        <v>146.06251999999998</v>
      </c>
      <c r="H39" s="350">
        <v>400</v>
      </c>
      <c r="I39" s="341">
        <f>IF(A39&lt;&gt;"",(K39-K40)/B39,"")</f>
        <v>5.9737156511352326E-3</v>
      </c>
      <c r="J39" s="185">
        <v>825</v>
      </c>
      <c r="K39" s="185">
        <v>822.63</v>
      </c>
      <c r="L39" s="185">
        <f>IF(A39&lt;&gt;"",J39-K39,"")</f>
        <v>2.3700000000000045</v>
      </c>
      <c r="M39" s="185">
        <f>IF(A39&lt;&gt;"",IF((1.14*((G39*$R$1/1000)^0.482)/(((H39/1000)^1.285)*(I39^0.241)))&lt;0.3,(1.14*((G39*$R$1/1000)^0.482)/(((H39/1000)^1.285)*(I39^0.241))),(1.97107*((G39*$R$1/1000)/(((H39/1000)^(8/3))*(I39^0.5)))+0.19066)),"")</f>
        <v>0.61949667540920228</v>
      </c>
      <c r="N39" s="348">
        <f t="shared" ref="N39" si="49">L40</f>
        <v>2.2200000000000273</v>
      </c>
      <c r="O39" s="185">
        <f>IF(A39&lt;&gt;"",76.923*(((H39/4000)*(1-(SIN(2*(-ATAN((1-2*M39)/SQRT(-(1-2*M39)*(1-2*M39)+1))+1.5708)))/(2*(-ATAN((1-2*M39)/SQRT(-(1-2*M39)*(1-2*M39)+1))+1.5708))))^0.167)*SQRT(((H39/4000)*(1-(SIN(2*(-ATAN((1-2*M39)/SQRT(-(1-2*M39)*(1-2*M39)+1))+1.5708)))/(2*(-ATAN((1-2*M39)/SQRT(-(1-2*M39)*(1-2*M39)+1))+1.5708))))*I39),"")</f>
        <v>1.3870286355112762</v>
      </c>
      <c r="P39" s="351">
        <f>IF(A39&lt;&gt;"",10000*I39*(H39/4000)*(1-(SIN(2*(-ATAN((1-2*M40)/SQRT(-(1-2*M40)*(1-2*M40)+1))+1.5708)))/(2*(-ATAN((1-2*M40)/SQRT(-(1-2*M40)*(1-2*M40)+1))+1.5708))),"")</f>
        <v>6.7394997001598043</v>
      </c>
      <c r="Q39" s="348">
        <f>IF(A39&lt;&gt;"",6*SQRT(9.8*((H39/4000)*(1-(SIN(2*(-ATAN((1-2*M40)/SQRT(-(1-2*M40)*(1-2*M40)+1))+1.5708)))/(2*(-ATAN((1-2*M40)/SQRT(-(1-2*M40)*(1-2*M40)+1))+1.5708))))),"")</f>
        <v>6.3089319677090092</v>
      </c>
      <c r="R39" s="340">
        <f t="shared" ref="R39" si="50">IF(A39&lt;&gt;"",0.0055*(IF(E39&gt;1.5,E39,1.5))^-0.47,"")</f>
        <v>5.2856652092375059E-4</v>
      </c>
      <c r="T39" s="342" t="str">
        <f t="shared" ref="T39:U39" si="51">A39</f>
        <v>34-35</v>
      </c>
      <c r="U39" s="332">
        <f t="shared" si="51"/>
        <v>100.44</v>
      </c>
      <c r="V39" s="189">
        <f t="shared" si="14"/>
        <v>825</v>
      </c>
      <c r="W39" s="189">
        <f t="shared" si="15"/>
        <v>822.63</v>
      </c>
      <c r="X39" s="261">
        <f t="shared" si="16"/>
        <v>2.3700000000000045</v>
      </c>
      <c r="Y39" s="245">
        <f>AVERAGE(L39:L40)+SUM($Z$1:$Z$2)</f>
        <v>2.6950000000000158</v>
      </c>
      <c r="Z39" s="226" t="str">
        <f>IF(Y39&lt;=1.5,Y39*B39*$Z$3,"")</f>
        <v/>
      </c>
      <c r="AA39" s="226">
        <f>IF(AND(Y39&gt;1.5,Y39&lt;=3),Y39*B39*$Z$3,"")</f>
        <v>216.54864000000126</v>
      </c>
      <c r="AB39" s="226" t="str">
        <f>IF(AND(Y39&gt;3,Y39&lt;=4.5),Y39*B39*$Z$3,"")</f>
        <v/>
      </c>
      <c r="AC39" s="250" t="str">
        <f>IF(AND(Y39&gt;4.5,Y39&lt;=6),Y39*B39*$Z$3,"")</f>
        <v/>
      </c>
      <c r="AD39" s="254">
        <f>IF(AA39&lt;&gt;"",AVERAGE(L39:L40)*B39*2,"")</f>
        <v>461.01960000000321</v>
      </c>
      <c r="AE39" s="245">
        <f>IF(Y39&lt;&gt;"",1,"")</f>
        <v>1</v>
      </c>
      <c r="AF39" s="227">
        <f>IF(Y39&lt;&gt;"",0.5,"")</f>
        <v>0.5</v>
      </c>
      <c r="AG39" s="246">
        <f>IF(Y39&gt;1.85,Y39-1.85,"")</f>
        <v>0.84500000000001574</v>
      </c>
      <c r="AH39" s="245">
        <f t="shared" si="17"/>
        <v>6.0263999999999998</v>
      </c>
      <c r="AI39" s="250">
        <f t="shared" si="18"/>
        <v>18.079199999999997</v>
      </c>
    </row>
    <row r="40" spans="1:35" x14ac:dyDescent="0.2">
      <c r="A40" s="334"/>
      <c r="B40" s="349"/>
      <c r="C40" s="187">
        <v>0.5</v>
      </c>
      <c r="D40" s="187">
        <f>IF(A39&lt;&gt;"",(C40/1000)*B39,"")</f>
        <v>5.0220000000000001E-2</v>
      </c>
      <c r="E40" s="187">
        <f t="shared" si="20"/>
        <v>146.06251999999998</v>
      </c>
      <c r="F40" s="187">
        <f t="shared" si="1"/>
        <v>146.11273999999997</v>
      </c>
      <c r="G40" s="187">
        <f t="shared" si="24"/>
        <v>146.11273999999997</v>
      </c>
      <c r="H40" s="352"/>
      <c r="I40" s="350"/>
      <c r="J40" s="186">
        <v>824.25</v>
      </c>
      <c r="K40" s="186">
        <v>822.03</v>
      </c>
      <c r="L40" s="186">
        <f>IF(A39&lt;&gt;"",J40-K40,"")</f>
        <v>2.2200000000000273</v>
      </c>
      <c r="M40" s="186">
        <f>IF(A39&lt;&gt;"",IF((1.14*((G40*$R$1/1000)^0.482)/(((H39/1000)^1.285)*(I39^0.241)))&lt;0.3,(1.14*((G40*$R$1/1000)^0.482)/(((H39/1000)^1.285)*(I39^0.241))),(1.97107*((G40*$R$1/1000)/(((H39/1000)^(8/3))*(I39^0.5)))+0.19066)),"")</f>
        <v>0.61964412033784688</v>
      </c>
      <c r="N40" s="348"/>
      <c r="O40" s="186">
        <f>IF(A39&lt;&gt;"",76.923*(((H39/4000)*(1-(SIN(2*(-ATAN((1-2*M40)/SQRT(-(1-2*M40)*(1-2*M40)+1))+1.5708)))/(2*(-ATAN((1-2*M40)/SQRT(-(1-2*M40)*(1-2*M40)+1))+1.5708))))^0.167)*SQRT(((H39/4000)*(1-(SIN(2*(-ATAN((1-2*M40)/SQRT(-(1-2*M40)*(1-2*M40)+1))+1.5708)))/(2*(-ATAN((1-2*M40)/SQRT(-(1-2*M40)*(1-2*M40)+1))+1.5708))))*I39),"")</f>
        <v>1.387132739722283</v>
      </c>
      <c r="P40" s="351"/>
      <c r="Q40" s="348"/>
      <c r="R40" s="341"/>
      <c r="T40" s="416"/>
      <c r="U40" s="422"/>
      <c r="V40" s="186">
        <f t="shared" si="14"/>
        <v>824.25</v>
      </c>
      <c r="W40" s="186">
        <f t="shared" si="15"/>
        <v>822.03</v>
      </c>
      <c r="X40" s="260">
        <f t="shared" si="16"/>
        <v>2.2200000000000273</v>
      </c>
      <c r="Y40" s="247"/>
      <c r="Z40" s="228"/>
      <c r="AA40" s="228"/>
      <c r="AB40" s="228"/>
      <c r="AC40" s="248"/>
      <c r="AD40" s="253"/>
      <c r="AE40" s="243"/>
      <c r="AF40" s="229"/>
      <c r="AG40" s="244"/>
      <c r="AH40" s="247">
        <f t="shared" si="17"/>
        <v>0</v>
      </c>
      <c r="AI40" s="248">
        <f t="shared" si="18"/>
        <v>0</v>
      </c>
    </row>
    <row r="41" spans="1:35" x14ac:dyDescent="0.2">
      <c r="A41" s="334" t="s">
        <v>190</v>
      </c>
      <c r="B41" s="349">
        <v>100.08</v>
      </c>
      <c r="C41" s="183">
        <v>0.5</v>
      </c>
      <c r="D41" s="183">
        <f>IF(A41&lt;&gt;"",(C41/1000)*B41,"")</f>
        <v>5.0040000000000001E-2</v>
      </c>
      <c r="E41" s="183">
        <f t="shared" si="20"/>
        <v>146.11273999999997</v>
      </c>
      <c r="F41" s="183">
        <f t="shared" si="1"/>
        <v>146.16277999999997</v>
      </c>
      <c r="G41" s="183">
        <f t="shared" si="24"/>
        <v>146.16277999999997</v>
      </c>
      <c r="H41" s="353">
        <v>400</v>
      </c>
      <c r="I41" s="341">
        <f>IF(A41&lt;&gt;"",(K41-K42)/B41,"")</f>
        <v>6.1950439648281834E-3</v>
      </c>
      <c r="J41" s="185">
        <v>824.25</v>
      </c>
      <c r="K41" s="185">
        <v>822.03</v>
      </c>
      <c r="L41" s="185">
        <f>IF(A41&lt;&gt;"",J41-K41,"")</f>
        <v>2.2200000000000273</v>
      </c>
      <c r="M41" s="185">
        <f>IF(A41&lt;&gt;"",IF((1.14*((G41*$R$1/1000)^0.482)/(((H41/1000)^1.285)*(I41^0.241)))&lt;0.3,(1.14*((G41*$R$1/1000)^0.482)/(((H41/1000)^1.285)*(I41^0.241))),(1.97107*((G41*$R$1/1000)/(((H41/1000)^(8/3))*(I41^0.5)))+0.19066)),"")</f>
        <v>0.61205560587637686</v>
      </c>
      <c r="N41" s="348">
        <f t="shared" ref="N41" si="52">L42</f>
        <v>2.4100000000000819</v>
      </c>
      <c r="O41" s="185">
        <f>IF(A41&lt;&gt;"",76.923*(((H41/4000)*(1-(SIN(2*(-ATAN((1-2*M41)/SQRT(-(1-2*M41)*(1-2*M41)+1))+1.5708)))/(2*(-ATAN((1-2*M41)/SQRT(-(1-2*M41)*(1-2*M41)+1))+1.5708))))^0.167)*SQRT(((H41/4000)*(1-(SIN(2*(-ATAN((1-2*M41)/SQRT(-(1-2*M41)*(1-2*M41)+1))+1.5708)))/(2*(-ATAN((1-2*M41)/SQRT(-(1-2*M41)*(1-2*M41)+1))+1.5708))))*I41),"")</f>
        <v>1.4070474850065484</v>
      </c>
      <c r="P41" s="351">
        <f>IF(A41&lt;&gt;"",10000*I41*(H41/4000)*(1-(SIN(2*(-ATAN((1-2*M42)/SQRT(-(1-2*M42)*(1-2*M42)+1))+1.5708)))/(2*(-ATAN((1-2*M42)/SQRT(-(1-2*M42)*(1-2*M42)+1))+1.5708))),"")</f>
        <v>6.9488769345639092</v>
      </c>
      <c r="Q41" s="348">
        <f>IF(A41&lt;&gt;"",6*SQRT(9.8*((H41/4000)*(1-(SIN(2*(-ATAN((1-2*M42)/SQRT(-(1-2*M42)*(1-2*M42)+1))+1.5708)))/(2*(-ATAN((1-2*M42)/SQRT(-(1-2*M42)*(1-2*M42)+1))+1.5708))))),"")</f>
        <v>6.2907061934203972</v>
      </c>
      <c r="R41" s="340">
        <f t="shared" ref="R41" si="53">IF(A41&lt;&gt;"",0.0055*(IF(E41&gt;1.5,E41,1.5))^-0.47,"")</f>
        <v>5.2839571801499281E-4</v>
      </c>
      <c r="T41" s="342" t="str">
        <f t="shared" ref="T41:U41" si="54">A41</f>
        <v>35-36</v>
      </c>
      <c r="U41" s="332">
        <f t="shared" si="54"/>
        <v>100.08</v>
      </c>
      <c r="V41" s="189">
        <f t="shared" si="14"/>
        <v>824.25</v>
      </c>
      <c r="W41" s="189">
        <f t="shared" si="15"/>
        <v>822.03</v>
      </c>
      <c r="X41" s="261">
        <f t="shared" si="16"/>
        <v>2.2200000000000273</v>
      </c>
      <c r="Y41" s="270">
        <f>AVERAGE(L41:L42)+SUM($Z$1:$Z$2)</f>
        <v>2.7150000000000545</v>
      </c>
      <c r="Z41" s="271" t="str">
        <f>IF(Y41&lt;=1.5,Y41*B41*$Z$3,"")</f>
        <v/>
      </c>
      <c r="AA41" s="271">
        <f>IF(AND(Y41&gt;1.5,Y41&lt;=3),Y41*B41*$Z$3,"")</f>
        <v>217.37376000000438</v>
      </c>
      <c r="AB41" s="271" t="str">
        <f>IF(AND(Y41&gt;3,Y41&lt;=4.5),Y41*B41*$Z$3,"")</f>
        <v/>
      </c>
      <c r="AC41" s="272" t="str">
        <f>IF(AND(Y41&gt;4.5,Y41&lt;=6),Y41*B41*$Z$3,"")</f>
        <v/>
      </c>
      <c r="AD41" s="249">
        <f>IF(AA41&lt;&gt;"",AVERAGE(L41:L42)*B41*2,"")</f>
        <v>463.37040000001093</v>
      </c>
      <c r="AE41" s="270">
        <f>IF(Y41&lt;&gt;"",1,"")</f>
        <v>1</v>
      </c>
      <c r="AF41" s="273">
        <f>IF(Y41&lt;&gt;"",0.5,"")</f>
        <v>0.5</v>
      </c>
      <c r="AG41" s="274">
        <f>IF(Y41&gt;1.85,Y41-1.85,"")</f>
        <v>0.86500000000005439</v>
      </c>
      <c r="AH41" s="270">
        <f t="shared" si="17"/>
        <v>6.0047999999999995</v>
      </c>
      <c r="AI41" s="272">
        <f t="shared" si="18"/>
        <v>18.014399999999998</v>
      </c>
    </row>
    <row r="42" spans="1:35" x14ac:dyDescent="0.2">
      <c r="A42" s="334"/>
      <c r="B42" s="349"/>
      <c r="C42" s="184">
        <v>0.5</v>
      </c>
      <c r="D42" s="184">
        <f>IF(A41&lt;&gt;"",(C42/1000)*B41,"")</f>
        <v>5.0040000000000001E-2</v>
      </c>
      <c r="E42" s="184">
        <f t="shared" si="20"/>
        <v>146.16277999999997</v>
      </c>
      <c r="F42" s="184">
        <f t="shared" si="1"/>
        <v>146.21281999999997</v>
      </c>
      <c r="G42" s="184">
        <f t="shared" si="24"/>
        <v>146.21281999999997</v>
      </c>
      <c r="H42" s="354"/>
      <c r="I42" s="350"/>
      <c r="J42" s="186">
        <v>823.82</v>
      </c>
      <c r="K42" s="186">
        <v>821.41</v>
      </c>
      <c r="L42" s="186">
        <f>IF(A41&lt;&gt;"",J42-K42,"")</f>
        <v>2.4100000000000819</v>
      </c>
      <c r="M42" s="186">
        <f>IF(A41&lt;&gt;"",IF((1.14*((G42*$R$1/1000)^0.482)/(((H41/1000)^1.285)*(I41^0.241)))&lt;0.3,(1.14*((G42*$R$1/1000)^0.482)/(((H41/1000)^1.285)*(I41^0.241))),(1.97107*((G42*$R$1/1000)/(((H41/1000)^(8/3))*(I41^0.5)))+0.19066)),"")</f>
        <v>0.61219987404176113</v>
      </c>
      <c r="N42" s="348"/>
      <c r="O42" s="186">
        <f>IF(A41&lt;&gt;"",76.923*(((H41/4000)*(1-(SIN(2*(-ATAN((1-2*M42)/SQRT(-(1-2*M42)*(1-2*M42)+1))+1.5708)))/(2*(-ATAN((1-2*M42)/SQRT(-(1-2*M42)*(1-2*M42)+1))+1.5708))))^0.167)*SQRT(((H41/4000)*(1-(SIN(2*(-ATAN((1-2*M42)/SQRT(-(1-2*M42)*(1-2*M42)+1))+1.5708)))/(2*(-ATAN((1-2*M42)/SQRT(-(1-2*M42)*(1-2*M42)+1))+1.5708))))*I41),"")</f>
        <v>1.4071547193427003</v>
      </c>
      <c r="P42" s="351"/>
      <c r="Q42" s="348"/>
      <c r="R42" s="341"/>
      <c r="T42" s="416"/>
      <c r="U42" s="422"/>
      <c r="V42" s="186">
        <f t="shared" si="14"/>
        <v>823.82</v>
      </c>
      <c r="W42" s="186">
        <f t="shared" si="15"/>
        <v>821.41</v>
      </c>
      <c r="X42" s="260">
        <f t="shared" si="16"/>
        <v>2.4100000000000819</v>
      </c>
      <c r="Y42" s="270"/>
      <c r="Z42" s="271"/>
      <c r="AA42" s="271"/>
      <c r="AB42" s="271"/>
      <c r="AC42" s="272"/>
      <c r="AD42" s="249"/>
      <c r="AE42" s="275"/>
      <c r="AF42" s="273"/>
      <c r="AG42" s="274"/>
      <c r="AH42" s="270">
        <f t="shared" si="17"/>
        <v>0</v>
      </c>
      <c r="AI42" s="272">
        <f t="shared" si="18"/>
        <v>0</v>
      </c>
    </row>
    <row r="43" spans="1:35" x14ac:dyDescent="0.2">
      <c r="A43" s="334" t="s">
        <v>191</v>
      </c>
      <c r="B43" s="349">
        <v>102.32</v>
      </c>
      <c r="C43" s="183">
        <v>0.5</v>
      </c>
      <c r="D43" s="183">
        <f>IF(A43&lt;&gt;"",(C43/1000)*B43,"")</f>
        <v>5.1159999999999997E-2</v>
      </c>
      <c r="E43" s="183">
        <f t="shared" si="20"/>
        <v>146.21281999999997</v>
      </c>
      <c r="F43" s="183">
        <f t="shared" si="1"/>
        <v>146.26397999999998</v>
      </c>
      <c r="G43" s="183">
        <f t="shared" si="24"/>
        <v>146.26397999999998</v>
      </c>
      <c r="H43" s="350">
        <v>400</v>
      </c>
      <c r="I43" s="341">
        <f>IF(A43&lt;&gt;"",(K43-K44)/B43,"")</f>
        <v>5.9616888193902819E-3</v>
      </c>
      <c r="J43" s="185">
        <v>823.82</v>
      </c>
      <c r="K43" s="185">
        <v>821.41</v>
      </c>
      <c r="L43" s="185">
        <f>IF(A43&lt;&gt;"",J43-K43,"")</f>
        <v>2.4100000000000819</v>
      </c>
      <c r="M43" s="185">
        <f>IF(A43&lt;&gt;"",IF((1.14*((G43*$R$1/1000)^0.482)/(((H43/1000)^1.285)*(I43^0.241)))&lt;0.3,(1.14*((G43*$R$1/1000)^0.482)/(((H43/1000)^1.285)*(I43^0.241))),(1.97107*((G43*$R$1/1000)/(((H43/1000)^(8/3))*(I43^0.5)))+0.19066)),"")</f>
        <v>0.62052109388073839</v>
      </c>
      <c r="N43" s="348">
        <f t="shared" ref="N43" si="55">L44</f>
        <v>1.6500000000000909</v>
      </c>
      <c r="O43" s="185">
        <f>IF(A43&lt;&gt;"",76.923*(((H43/4000)*(1-(SIN(2*(-ATAN((1-2*M43)/SQRT(-(1-2*M43)*(1-2*M43)+1))+1.5708)))/(2*(-ATAN((1-2*M43)/SQRT(-(1-2*M43)*(1-2*M43)+1))+1.5708))))^0.167)*SQRT(((H43/4000)*(1-(SIN(2*(-ATAN((1-2*M43)/SQRT(-(1-2*M43)*(1-2*M43)+1))+1.5708)))/(2*(-ATAN((1-2*M43)/SQRT(-(1-2*M43)*(1-2*M43)+1))+1.5708))))*I43),"")</f>
        <v>1.3863528122190223</v>
      </c>
      <c r="P43" s="351">
        <f>IF(A43&lt;&gt;"",10000*I43*(H43/4000)*(1-(SIN(2*(-ATAN((1-2*M44)/SQRT(-(1-2*M44)*(1-2*M44)+1))+1.5708)))/(2*(-ATAN((1-2*M44)/SQRT(-(1-2*M44)*(1-2*M44)+1))+1.5708))),"")</f>
        <v>6.7311907138462725</v>
      </c>
      <c r="Q43" s="348">
        <f>IF(A43&lt;&gt;"",6*SQRT(9.8*((H43/4000)*(1-(SIN(2*(-ATAN((1-2*M44)/SQRT(-(1-2*M44)*(1-2*M44)+1))+1.5708)))/(2*(-ATAN((1-2*M44)/SQRT(-(1-2*M44)*(1-2*M44)+1))+1.5708))))),"")</f>
        <v>6.3113982376801436</v>
      </c>
      <c r="R43" s="340">
        <f t="shared" ref="R43" si="56">IF(A43&lt;&gt;"",0.0055*(IF(E43&gt;1.5,E43,1.5))^-0.47,"")</f>
        <v>5.2822569888607218E-4</v>
      </c>
      <c r="T43" s="342" t="str">
        <f t="shared" ref="T43:U43" si="57">A43</f>
        <v>36-37</v>
      </c>
      <c r="U43" s="332">
        <f t="shared" si="57"/>
        <v>102.32</v>
      </c>
      <c r="V43" s="189">
        <f t="shared" si="14"/>
        <v>823.82</v>
      </c>
      <c r="W43" s="189">
        <f t="shared" si="15"/>
        <v>821.41</v>
      </c>
      <c r="X43" s="261">
        <f t="shared" si="16"/>
        <v>2.4100000000000819</v>
      </c>
      <c r="Y43" s="245">
        <f>AVERAGE(L43:L44)+SUM($Z$1:$Z$2)</f>
        <v>2.4300000000000863</v>
      </c>
      <c r="Z43" s="226" t="str">
        <f>IF(Y43&lt;=1.5,Y43*B43*$Z$3,"")</f>
        <v/>
      </c>
      <c r="AA43" s="226">
        <f>IF(AND(Y43&gt;1.5,Y43&lt;=3),Y43*B43*$Z$3,"")</f>
        <v>198.91008000000704</v>
      </c>
      <c r="AB43" s="226" t="str">
        <f>IF(AND(Y43&gt;3,Y43&lt;=4.5),Y43*B43*$Z$3,"")</f>
        <v/>
      </c>
      <c r="AC43" s="250" t="str">
        <f>IF(AND(Y43&gt;4.5,Y43&lt;=6),Y43*B43*$Z$3,"")</f>
        <v/>
      </c>
      <c r="AD43" s="254">
        <f>IF(AA43&lt;&gt;"",AVERAGE(L43:L44)*B43*2,"")</f>
        <v>415.41920000001767</v>
      </c>
      <c r="AE43" s="245">
        <f>IF(Y43&lt;&gt;"",1,"")</f>
        <v>1</v>
      </c>
      <c r="AF43" s="227">
        <f>IF(Y43&lt;&gt;"",0.5,"")</f>
        <v>0.5</v>
      </c>
      <c r="AG43" s="246">
        <f>IF(Y43&gt;1.85,Y43-1.85,"")</f>
        <v>0.58000000000008622</v>
      </c>
      <c r="AH43" s="245">
        <f t="shared" si="17"/>
        <v>6.1391999999999998</v>
      </c>
      <c r="AI43" s="250">
        <f t="shared" si="18"/>
        <v>18.417599999999997</v>
      </c>
    </row>
    <row r="44" spans="1:35" x14ac:dyDescent="0.2">
      <c r="A44" s="334"/>
      <c r="B44" s="349"/>
      <c r="C44" s="184">
        <v>0.5</v>
      </c>
      <c r="D44" s="184">
        <f>IF(A43&lt;&gt;"",(C44/1000)*B43,"")</f>
        <v>5.1159999999999997E-2</v>
      </c>
      <c r="E44" s="184">
        <f t="shared" si="20"/>
        <v>146.26397999999998</v>
      </c>
      <c r="F44" s="184">
        <f t="shared" si="1"/>
        <v>146.31513999999999</v>
      </c>
      <c r="G44" s="184">
        <f t="shared" si="24"/>
        <v>146.31513999999999</v>
      </c>
      <c r="H44" s="350"/>
      <c r="I44" s="350"/>
      <c r="J44" s="186">
        <v>822.45</v>
      </c>
      <c r="K44" s="186">
        <v>820.8</v>
      </c>
      <c r="L44" s="186">
        <f>IF(A43&lt;&gt;"",J44-K44,"")</f>
        <v>1.6500000000000909</v>
      </c>
      <c r="M44" s="186">
        <f>IF(A43&lt;&gt;"",IF((1.14*((G44*$R$1/1000)^0.482)/(((H43/1000)^1.285)*(I43^0.241)))&lt;0.3,(1.14*((G44*$R$1/1000)^0.482)/(((H43/1000)^1.285)*(I43^0.241))),(1.97107*((G44*$R$1/1000)/(((H43/1000)^(8/3))*(I43^0.5)))+0.19066)),"")</f>
        <v>0.62067145006250601</v>
      </c>
      <c r="N44" s="348"/>
      <c r="O44" s="186">
        <f>IF(A43&lt;&gt;"",76.923*(((H43/4000)*(1-(SIN(2*(-ATAN((1-2*M44)/SQRT(-(1-2*M44)*(1-2*M44)+1))+1.5708)))/(2*(-ATAN((1-2*M44)/SQRT(-(1-2*M44)*(1-2*M44)+1))+1.5708))))^0.167)*SQRT(((H43/4000)*(1-(SIN(2*(-ATAN((1-2*M44)/SQRT(-(1-2*M44)*(1-2*M44)+1))+1.5708)))/(2*(-ATAN((1-2*M44)/SQRT(-(1-2*M44)*(1-2*M44)+1))+1.5708))))*I43),"")</f>
        <v>1.386458370342982</v>
      </c>
      <c r="P44" s="351"/>
      <c r="Q44" s="348"/>
      <c r="R44" s="341"/>
      <c r="T44" s="416"/>
      <c r="U44" s="422"/>
      <c r="V44" s="186">
        <f t="shared" si="14"/>
        <v>822.45</v>
      </c>
      <c r="W44" s="186">
        <f t="shared" si="15"/>
        <v>820.8</v>
      </c>
      <c r="X44" s="260">
        <f t="shared" si="16"/>
        <v>1.6500000000000909</v>
      </c>
      <c r="Y44" s="247"/>
      <c r="Z44" s="228"/>
      <c r="AA44" s="228"/>
      <c r="AB44" s="228"/>
      <c r="AC44" s="248"/>
      <c r="AD44" s="253"/>
      <c r="AE44" s="243"/>
      <c r="AF44" s="229"/>
      <c r="AG44" s="244"/>
      <c r="AH44" s="247">
        <f t="shared" si="17"/>
        <v>0</v>
      </c>
      <c r="AI44" s="248">
        <f t="shared" si="18"/>
        <v>0</v>
      </c>
    </row>
    <row r="45" spans="1:35" x14ac:dyDescent="0.2">
      <c r="A45" s="334" t="s">
        <v>192</v>
      </c>
      <c r="B45" s="349">
        <v>98.94</v>
      </c>
      <c r="C45" s="183">
        <v>0.5</v>
      </c>
      <c r="D45" s="183">
        <f>IF(A45&lt;&gt;"",(C45/1000)*B45,"")</f>
        <v>4.947E-2</v>
      </c>
      <c r="E45" s="183">
        <f t="shared" si="20"/>
        <v>146.31513999999999</v>
      </c>
      <c r="F45" s="183">
        <f t="shared" si="1"/>
        <v>146.36461</v>
      </c>
      <c r="G45" s="183">
        <f t="shared" si="24"/>
        <v>146.36461</v>
      </c>
      <c r="H45" s="350">
        <v>400</v>
      </c>
      <c r="I45" s="341">
        <f>IF(A45&lt;&gt;"",(K45-K46)/B45,"")</f>
        <v>5.9632100262777257E-3</v>
      </c>
      <c r="J45" s="185">
        <v>822.45</v>
      </c>
      <c r="K45" s="185">
        <v>820.8</v>
      </c>
      <c r="L45" s="185">
        <f>IF(A45&lt;&gt;"",J45-K45,"")</f>
        <v>1.6500000000000909</v>
      </c>
      <c r="M45" s="185">
        <f>IF(A45&lt;&gt;"",IF((1.14*((G45*$R$1/1000)^0.482)/(((H45/1000)^1.285)*(I45^0.241)))&lt;0.3,(1.14*((G45*$R$1/1000)^0.482)/(((H45/1000)^1.285)*(I45^0.241))),(1.97107*((G45*$R$1/1000)/(((H45/1000)^(8/3))*(I45^0.5)))+0.19066)),"")</f>
        <v>0.62076196971909647</v>
      </c>
      <c r="N45" s="348">
        <f t="shared" ref="N45" si="58">L46</f>
        <v>1.7199999999999136</v>
      </c>
      <c r="O45" s="185">
        <f>IF(A45&lt;&gt;"",76.923*(((H45/4000)*(1-(SIN(2*(-ATAN((1-2*M45)/SQRT(-(1-2*M45)*(1-2*M45)+1))+1.5708)))/(2*(-ATAN((1-2*M45)/SQRT(-(1-2*M45)*(1-2*M45)+1))+1.5708))))^0.167)*SQRT(((H45/4000)*(1-(SIN(2*(-ATAN((1-2*M45)/SQRT(-(1-2*M45)*(1-2*M45)+1))+1.5708)))/(2*(-ATAN((1-2*M45)/SQRT(-(1-2*M45)*(1-2*M45)+1))+1.5708))))*I45),"")</f>
        <v>1.3866987688164212</v>
      </c>
      <c r="P45" s="351">
        <f>IF(A45&lt;&gt;"",10000*I45*(H45/4000)*(1-(SIN(2*(-ATAN((1-2*M46)/SQRT(-(1-2*M46)*(1-2*M46)+1))+1.5708)))/(2*(-ATAN((1-2*M46)/SQRT(-(1-2*M46)*(1-2*M46)+1))+1.5708))),"")</f>
        <v>6.7341129736940468</v>
      </c>
      <c r="Q45" s="348">
        <f>IF(A45&lt;&gt;"",6*SQRT(9.8*((H45/4000)*(1-(SIN(2*(-ATAN((1-2*M46)/SQRT(-(1-2*M46)*(1-2*M46)+1))+1.5708)))/(2*(-ATAN((1-2*M46)/SQRT(-(1-2*M46)*(1-2*M46)+1))+1.5708))))),"")</f>
        <v>6.3119628544938795</v>
      </c>
      <c r="R45" s="340">
        <f t="shared" ref="R45" si="59">IF(A45&lt;&gt;"",0.0055*(IF(E45&gt;1.5,E45,1.5))^-0.47,"")</f>
        <v>5.280520511392931E-4</v>
      </c>
      <c r="T45" s="342" t="str">
        <f t="shared" ref="T45:U45" si="60">A45</f>
        <v>37-38</v>
      </c>
      <c r="U45" s="332">
        <f t="shared" si="60"/>
        <v>98.94</v>
      </c>
      <c r="V45" s="189">
        <f t="shared" si="14"/>
        <v>822.45</v>
      </c>
      <c r="W45" s="189">
        <f t="shared" si="15"/>
        <v>820.8</v>
      </c>
      <c r="X45" s="261">
        <f t="shared" si="16"/>
        <v>1.6500000000000909</v>
      </c>
      <c r="Y45" s="270">
        <f>AVERAGE(L45:L46)+SUM($Z$1:$Z$2)</f>
        <v>2.0850000000000022</v>
      </c>
      <c r="Z45" s="271" t="str">
        <f>IF(Y45&lt;=1.5,Y45*B45*$Z$3,"")</f>
        <v/>
      </c>
      <c r="AA45" s="271">
        <f>IF(AND(Y45&gt;1.5,Y45&lt;=3),Y45*B45*$Z$3,"")</f>
        <v>165.03192000000018</v>
      </c>
      <c r="AB45" s="271" t="str">
        <f>IF(AND(Y45&gt;3,Y45&lt;=4.5),Y45*B45*$Z$3,"")</f>
        <v/>
      </c>
      <c r="AC45" s="272" t="str">
        <f>IF(AND(Y45&gt;4.5,Y45&lt;=6),Y45*B45*$Z$3,"")</f>
        <v/>
      </c>
      <c r="AD45" s="249">
        <f>IF(AA45&lt;&gt;"",AVERAGE(L45:L46)*B45*2,"")</f>
        <v>333.42780000000045</v>
      </c>
      <c r="AE45" s="270">
        <f>IF(Y45&lt;&gt;"",1,"")</f>
        <v>1</v>
      </c>
      <c r="AF45" s="273">
        <f>IF(Y45&lt;&gt;"",0.5,"")</f>
        <v>0.5</v>
      </c>
      <c r="AG45" s="274">
        <f>IF(Y45&gt;1.85,Y45-1.85,"")</f>
        <v>0.2350000000000021</v>
      </c>
      <c r="AH45" s="270">
        <f t="shared" si="17"/>
        <v>5.9363999999999999</v>
      </c>
      <c r="AI45" s="272">
        <f t="shared" si="18"/>
        <v>17.809199999999997</v>
      </c>
    </row>
    <row r="46" spans="1:35" x14ac:dyDescent="0.2">
      <c r="A46" s="334"/>
      <c r="B46" s="349"/>
      <c r="C46" s="187">
        <v>0.5</v>
      </c>
      <c r="D46" s="187">
        <f>IF(A45&lt;&gt;"",(C46/1000)*B45,"")</f>
        <v>4.947E-2</v>
      </c>
      <c r="E46" s="187">
        <f t="shared" si="20"/>
        <v>146.36461</v>
      </c>
      <c r="F46" s="187">
        <f t="shared" si="1"/>
        <v>146.41408000000001</v>
      </c>
      <c r="G46" s="187">
        <f t="shared" si="24"/>
        <v>146.41408000000001</v>
      </c>
      <c r="H46" s="350"/>
      <c r="I46" s="350"/>
      <c r="J46" s="186">
        <v>821.93</v>
      </c>
      <c r="K46" s="186">
        <v>820.21</v>
      </c>
      <c r="L46" s="186">
        <f>IF(A45&lt;&gt;"",J46-K46,"")</f>
        <v>1.7199999999999136</v>
      </c>
      <c r="M46" s="186">
        <f>IF(A45&lt;&gt;"",IF((1.14*((G46*$R$1/1000)^0.482)/(((H45/1000)^1.285)*(I45^0.241)))&lt;0.3,(1.14*((G46*$R$1/1000)^0.482)/(((H45/1000)^1.285)*(I45^0.241))),(1.97107*((G46*$R$1/1000)/(((H45/1000)^(8/3))*(I45^0.5)))+0.19066)),"")</f>
        <v>0.62090734054638874</v>
      </c>
      <c r="N46" s="348"/>
      <c r="O46" s="186">
        <f>IF(A45&lt;&gt;"",76.923*(((H45/4000)*(1-(SIN(2*(-ATAN((1-2*M46)/SQRT(-(1-2*M46)*(1-2*M46)+1))+1.5708)))/(2*(-ATAN((1-2*M46)/SQRT(-(1-2*M46)*(1-2*M46)+1))+1.5708))))^0.167)*SQRT(((H45/4000)*(1-(SIN(2*(-ATAN((1-2*M46)/SQRT(-(1-2*M46)*(1-2*M46)+1))+1.5708)))/(2*(-ATAN((1-2*M46)/SQRT(-(1-2*M46)*(1-2*M46)+1))+1.5708))))*I45),"")</f>
        <v>1.3868007287880415</v>
      </c>
      <c r="P46" s="351"/>
      <c r="Q46" s="348"/>
      <c r="R46" s="341"/>
      <c r="T46" s="416"/>
      <c r="U46" s="422"/>
      <c r="V46" s="186">
        <f t="shared" si="14"/>
        <v>821.93</v>
      </c>
      <c r="W46" s="186">
        <f t="shared" si="15"/>
        <v>820.21</v>
      </c>
      <c r="X46" s="260">
        <f t="shared" si="16"/>
        <v>1.7199999999999136</v>
      </c>
      <c r="Y46" s="270"/>
      <c r="Z46" s="271"/>
      <c r="AA46" s="271"/>
      <c r="AB46" s="271"/>
      <c r="AC46" s="272"/>
      <c r="AD46" s="249"/>
      <c r="AE46" s="275"/>
      <c r="AF46" s="273"/>
      <c r="AG46" s="274"/>
      <c r="AH46" s="270">
        <f t="shared" si="17"/>
        <v>0</v>
      </c>
      <c r="AI46" s="272">
        <f t="shared" si="18"/>
        <v>0</v>
      </c>
    </row>
    <row r="47" spans="1:35" x14ac:dyDescent="0.2">
      <c r="A47" s="334" t="s">
        <v>193</v>
      </c>
      <c r="B47" s="349">
        <v>101.67</v>
      </c>
      <c r="C47" s="183">
        <v>0.5</v>
      </c>
      <c r="D47" s="183">
        <f>IF(A47&lt;&gt;"",(C47/1000)*B47,"")</f>
        <v>5.0835000000000005E-2</v>
      </c>
      <c r="E47" s="183">
        <f t="shared" si="20"/>
        <v>146.41408000000001</v>
      </c>
      <c r="F47" s="183">
        <f t="shared" si="1"/>
        <v>146.46491500000002</v>
      </c>
      <c r="G47" s="183">
        <f t="shared" si="24"/>
        <v>146.46491500000002</v>
      </c>
      <c r="H47" s="350">
        <v>400</v>
      </c>
      <c r="I47" s="341">
        <f>IF(A47&lt;&gt;"",(K47-K48)/B47,"")</f>
        <v>6.2948755778497725E-3</v>
      </c>
      <c r="J47" s="185">
        <v>821.93</v>
      </c>
      <c r="K47" s="185">
        <v>820.21</v>
      </c>
      <c r="L47" s="185">
        <f>IF(A47&lt;&gt;"",J47-K47,"")</f>
        <v>1.7199999999999136</v>
      </c>
      <c r="M47" s="185">
        <f>IF(A47&lt;&gt;"",IF((1.14*((G47*$R$1/1000)^0.482)/(((H47/1000)^1.285)*(I47^0.241)))&lt;0.3,(1.14*((G47*$R$1/1000)^0.482)/(((H47/1000)^1.285)*(I47^0.241))),(1.97107*((G47*$R$1/1000)/(((H47/1000)^(8/3))*(I47^0.5)))+0.19066)),"")</f>
        <v>0.60956489295178951</v>
      </c>
      <c r="N47" s="348">
        <f t="shared" ref="N47" si="61">L48</f>
        <v>1.9899999999998954</v>
      </c>
      <c r="O47" s="185">
        <f>IF(A47&lt;&gt;"",76.923*(((H47/4000)*(1-(SIN(2*(-ATAN((1-2*M47)/SQRT(-(1-2*M47)*(1-2*M47)+1))+1.5708)))/(2*(-ATAN((1-2*M47)/SQRT(-(1-2*M47)*(1-2*M47)+1))+1.5708))))^0.167)*SQRT(((H47/4000)*(1-(SIN(2*(-ATAN((1-2*M47)/SQRT(-(1-2*M47)*(1-2*M47)+1))+1.5708)))/(2*(-ATAN((1-2*M47)/SQRT(-(1-2*M47)*(1-2*M47)+1))+1.5708))))*I47),"")</f>
        <v>1.4164623163846841</v>
      </c>
      <c r="P47" s="351">
        <f>IF(A47&lt;&gt;"",10000*I47*(H47/4000)*(1-(SIN(2*(-ATAN((1-2*M48)/SQRT(-(1-2*M48)*(1-2*M48)+1))+1.5708)))/(2*(-ATAN((1-2*M48)/SQRT(-(1-2*M48)*(1-2*M48)+1))+1.5708))),"")</f>
        <v>7.0468681613365147</v>
      </c>
      <c r="Q47" s="348">
        <f>IF(A47&lt;&gt;"",6*SQRT(9.8*((H47/4000)*(1-(SIN(2*(-ATAN((1-2*M48)/SQRT(-(1-2*M48)*(1-2*M48)+1))+1.5708)))/(2*(-ATAN((1-2*M48)/SQRT(-(1-2*M48)*(1-2*M48)+1))+1.5708))))),"")</f>
        <v>6.2844718643427644</v>
      </c>
      <c r="R47" s="340">
        <f t="shared" ref="R47" si="62">IF(A47&lt;&gt;"",0.0055*(IF(E47&gt;1.5,E47,1.5))^-0.47,"")</f>
        <v>5.2788430928249518E-4</v>
      </c>
      <c r="T47" s="342" t="str">
        <f t="shared" ref="T47:U47" si="63">A47</f>
        <v>38-39</v>
      </c>
      <c r="U47" s="332">
        <f t="shared" si="63"/>
        <v>101.67</v>
      </c>
      <c r="V47" s="189">
        <f t="shared" si="14"/>
        <v>821.93</v>
      </c>
      <c r="W47" s="189">
        <f t="shared" si="15"/>
        <v>820.21</v>
      </c>
      <c r="X47" s="261">
        <f t="shared" si="16"/>
        <v>1.7199999999999136</v>
      </c>
      <c r="Y47" s="245">
        <f>AVERAGE(L47:L48)+SUM($Z$1:$Z$2)</f>
        <v>2.2549999999999044</v>
      </c>
      <c r="Z47" s="226" t="str">
        <f>IF(Y47&lt;=1.5,Y47*B47*$Z$3,"")</f>
        <v/>
      </c>
      <c r="AA47" s="226">
        <f>IF(AND(Y47&gt;1.5,Y47&lt;=3),Y47*B47*$Z$3,"")</f>
        <v>183.41267999999224</v>
      </c>
      <c r="AB47" s="226" t="str">
        <f>IF(AND(Y47&gt;3,Y47&lt;=4.5),Y47*B47*$Z$3,"")</f>
        <v/>
      </c>
      <c r="AC47" s="250" t="str">
        <f>IF(AND(Y47&gt;4.5,Y47&lt;=6),Y47*B47*$Z$3,"")</f>
        <v/>
      </c>
      <c r="AD47" s="254">
        <f>IF(AA47&lt;&gt;"",AVERAGE(L47:L48)*B47*2,"")</f>
        <v>377.1956999999806</v>
      </c>
      <c r="AE47" s="245">
        <f>IF(Y47&lt;&gt;"",1,"")</f>
        <v>1</v>
      </c>
      <c r="AF47" s="227">
        <f>IF(Y47&lt;&gt;"",0.5,"")</f>
        <v>0.5</v>
      </c>
      <c r="AG47" s="246">
        <f>IF(Y47&gt;1.85,Y47-1.85,"")</f>
        <v>0.40499999999990433</v>
      </c>
      <c r="AH47" s="245">
        <f t="shared" si="17"/>
        <v>6.1002000000000001</v>
      </c>
      <c r="AI47" s="250">
        <f t="shared" si="18"/>
        <v>18.300599999999999</v>
      </c>
    </row>
    <row r="48" spans="1:35" x14ac:dyDescent="0.2">
      <c r="A48" s="334"/>
      <c r="B48" s="349"/>
      <c r="C48" s="184">
        <v>0.5</v>
      </c>
      <c r="D48" s="184">
        <f>IF(A47&lt;&gt;"",(C48/1000)*B47,"")</f>
        <v>5.0835000000000005E-2</v>
      </c>
      <c r="E48" s="184">
        <f t="shared" si="20"/>
        <v>146.46491500000002</v>
      </c>
      <c r="F48" s="184">
        <f t="shared" si="1"/>
        <v>146.51575000000003</v>
      </c>
      <c r="G48" s="184">
        <f t="shared" si="24"/>
        <v>146.51575000000003</v>
      </c>
      <c r="H48" s="350"/>
      <c r="I48" s="350"/>
      <c r="J48" s="186">
        <v>821.56</v>
      </c>
      <c r="K48" s="186">
        <v>819.57</v>
      </c>
      <c r="L48" s="186">
        <f>IF(A47&lt;&gt;"",J48-K48,"")</f>
        <v>1.9899999999998954</v>
      </c>
      <c r="M48" s="186">
        <f>IF(A47&lt;&gt;"",IF((1.14*((G48*$R$1/1000)^0.482)/(((H47/1000)^1.285)*(I47^0.241)))&lt;0.3,(1.14*((G48*$R$1/1000)^0.482)/(((H47/1000)^1.285)*(I47^0.241))),(1.97107*((G48*$R$1/1000)/(((H47/1000)^(8/3))*(I47^0.5)))+0.19066)),"")</f>
        <v>0.60971028633991398</v>
      </c>
      <c r="N48" s="348"/>
      <c r="O48" s="186">
        <f>IF(A47&lt;&gt;"",76.923*(((H47/4000)*(1-(SIN(2*(-ATAN((1-2*M48)/SQRT(-(1-2*M48)*(1-2*M48)+1))+1.5708)))/(2*(-ATAN((1-2*M48)/SQRT(-(1-2*M48)*(1-2*M48)+1))+1.5708))))^0.167)*SQRT(((H47/4000)*(1-(SIN(2*(-ATAN((1-2*M48)/SQRT(-(1-2*M48)*(1-2*M48)+1))+1.5708)))/(2*(-ATAN((1-2*M48)/SQRT(-(1-2*M48)*(1-2*M48)+1))+1.5708))))*I47),"")</f>
        <v>1.4165724425450208</v>
      </c>
      <c r="P48" s="351"/>
      <c r="Q48" s="348"/>
      <c r="R48" s="341"/>
      <c r="T48" s="416"/>
      <c r="U48" s="422"/>
      <c r="V48" s="186">
        <f t="shared" si="14"/>
        <v>821.56</v>
      </c>
      <c r="W48" s="186">
        <f t="shared" si="15"/>
        <v>819.57</v>
      </c>
      <c r="X48" s="260">
        <f t="shared" si="16"/>
        <v>1.9899999999998954</v>
      </c>
      <c r="Y48" s="247"/>
      <c r="Z48" s="228"/>
      <c r="AA48" s="228"/>
      <c r="AB48" s="228"/>
      <c r="AC48" s="248"/>
      <c r="AD48" s="253"/>
      <c r="AE48" s="243"/>
      <c r="AF48" s="229"/>
      <c r="AG48" s="244"/>
      <c r="AH48" s="247">
        <f t="shared" si="17"/>
        <v>0</v>
      </c>
      <c r="AI48" s="248">
        <f t="shared" si="18"/>
        <v>0</v>
      </c>
    </row>
    <row r="49" spans="1:35" x14ac:dyDescent="0.2">
      <c r="A49" s="334" t="s">
        <v>194</v>
      </c>
      <c r="B49" s="349">
        <v>99.76</v>
      </c>
      <c r="C49" s="183">
        <v>0.5</v>
      </c>
      <c r="D49" s="183">
        <f>IF(A49&lt;&gt;"",(C49/1000)*B49,"")</f>
        <v>4.9880000000000001E-2</v>
      </c>
      <c r="E49" s="183">
        <f t="shared" si="20"/>
        <v>146.51575000000003</v>
      </c>
      <c r="F49" s="183">
        <f t="shared" si="1"/>
        <v>146.56563000000003</v>
      </c>
      <c r="G49" s="183">
        <f t="shared" si="24"/>
        <v>146.56563000000003</v>
      </c>
      <c r="H49" s="350">
        <v>400</v>
      </c>
      <c r="I49" s="341">
        <f>IF(A49&lt;&gt;"",(K49-K50)/B49,"")</f>
        <v>6.0144346431437725E-3</v>
      </c>
      <c r="J49" s="185">
        <v>821.56</v>
      </c>
      <c r="K49" s="185">
        <v>819.57</v>
      </c>
      <c r="L49" s="185">
        <f>IF(A49&lt;&gt;"",J49-K49,"")</f>
        <v>1.9899999999998954</v>
      </c>
      <c r="M49" s="185">
        <f>IF(A49&lt;&gt;"",IF((1.14*((G49*$R$1/1000)^0.482)/(((H49/1000)^1.285)*(I49^0.241)))&lt;0.3,(1.14*((G49*$R$1/1000)^0.482)/(((H49/1000)^1.285)*(I49^0.241))),(1.97107*((G49*$R$1/1000)/(((H49/1000)^(8/3))*(I49^0.5)))+0.19066)),"")</f>
        <v>0.61951466497206442</v>
      </c>
      <c r="N49" s="348">
        <f t="shared" ref="N49" si="64">L50</f>
        <v>2.0399999999999636</v>
      </c>
      <c r="O49" s="185">
        <f>IF(A49&lt;&gt;"",76.923*(((H49/4000)*(1-(SIN(2*(-ATAN((1-2*M49)/SQRT(-(1-2*M49)*(1-2*M49)+1))+1.5708)))/(2*(-ATAN((1-2*M49)/SQRT(-(1-2*M49)*(1-2*M49)+1))+1.5708))))^0.167)*SQRT(((H49/4000)*(1-(SIN(2*(-ATAN((1-2*M49)/SQRT(-(1-2*M49)*(1-2*M49)+1))+1.5708)))/(2*(-ATAN((1-2*M49)/SQRT(-(1-2*M49)*(1-2*M49)+1))+1.5708))))*I49),"")</f>
        <v>1.3917605985313712</v>
      </c>
      <c r="P49" s="351">
        <f>IF(A49&lt;&gt;"",10000*I49*(H49/4000)*(1-(SIN(2*(-ATAN((1-2*M50)/SQRT(-(1-2*M50)*(1-2*M50)+1))+1.5708)))/(2*(-ATAN((1-2*M50)/SQRT(-(1-2*M50)*(1-2*M50)+1))+1.5708))),"")</f>
        <v>6.7855239315942448</v>
      </c>
      <c r="Q49" s="348">
        <f>IF(A49&lt;&gt;"",6*SQRT(9.8*((H49/4000)*(1-(SIN(2*(-ATAN((1-2*M50)/SQRT(-(1-2*M50)*(1-2*M50)+1))+1.5708)))/(2*(-ATAN((1-2*M50)/SQRT(-(1-2*M50)*(1-2*M50)+1))+1.5708))))),"")</f>
        <v>6.3089716597913155</v>
      </c>
      <c r="R49" s="340">
        <f t="shared" ref="R49" si="65">IF(A49&lt;&gt;"",0.0055*(IF(E49&gt;1.5,E49,1.5))^-0.47,"")</f>
        <v>5.2771211251088695E-4</v>
      </c>
      <c r="T49" s="342" t="str">
        <f t="shared" ref="T49:U49" si="66">A49</f>
        <v>39-40</v>
      </c>
      <c r="U49" s="332">
        <f t="shared" si="66"/>
        <v>99.76</v>
      </c>
      <c r="V49" s="189">
        <f t="shared" si="14"/>
        <v>821.56</v>
      </c>
      <c r="W49" s="189">
        <f t="shared" si="15"/>
        <v>819.57</v>
      </c>
      <c r="X49" s="261">
        <f t="shared" si="16"/>
        <v>1.9899999999998954</v>
      </c>
      <c r="Y49" s="270">
        <f>AVERAGE(L49:L50)+SUM($Z$1:$Z$2)</f>
        <v>2.4149999999999294</v>
      </c>
      <c r="Z49" s="271" t="str">
        <f>IF(Y49&lt;=1.5,Y49*B49*$Z$3,"")</f>
        <v/>
      </c>
      <c r="AA49" s="271">
        <f>IF(AND(Y49&gt;1.5,Y49&lt;=3),Y49*B49*$Z$3,"")</f>
        <v>192.73631999999441</v>
      </c>
      <c r="AB49" s="271" t="str">
        <f>IF(AND(Y49&gt;3,Y49&lt;=4.5),Y49*B49*$Z$3,"")</f>
        <v/>
      </c>
      <c r="AC49" s="272" t="str">
        <f>IF(AND(Y49&gt;4.5,Y49&lt;=6),Y49*B49*$Z$3,"")</f>
        <v/>
      </c>
      <c r="AD49" s="249">
        <f>IF(AA49&lt;&gt;"",AVERAGE(L49:L50)*B49*2,"")</f>
        <v>402.03279999998597</v>
      </c>
      <c r="AE49" s="270">
        <f>IF(Y49&lt;&gt;"",1,"")</f>
        <v>1</v>
      </c>
      <c r="AF49" s="273">
        <f>IF(Y49&lt;&gt;"",0.5,"")</f>
        <v>0.5</v>
      </c>
      <c r="AG49" s="274">
        <f>IF(Y49&gt;1.85,Y49-1.85,"")</f>
        <v>0.56499999999992934</v>
      </c>
      <c r="AH49" s="270">
        <f t="shared" si="17"/>
        <v>5.9856000000000007</v>
      </c>
      <c r="AI49" s="272">
        <f t="shared" si="18"/>
        <v>17.956800000000001</v>
      </c>
    </row>
    <row r="50" spans="1:35" x14ac:dyDescent="0.2">
      <c r="A50" s="334"/>
      <c r="B50" s="349"/>
      <c r="C50" s="184">
        <v>0.5</v>
      </c>
      <c r="D50" s="184">
        <f>IF(A49&lt;&gt;"",(C50/1000)*B49,"")</f>
        <v>4.9880000000000001E-2</v>
      </c>
      <c r="E50" s="184">
        <f t="shared" si="20"/>
        <v>146.56563000000003</v>
      </c>
      <c r="F50" s="184">
        <f t="shared" si="1"/>
        <v>146.61551000000003</v>
      </c>
      <c r="G50" s="184">
        <f t="shared" si="24"/>
        <v>146.61551000000003</v>
      </c>
      <c r="H50" s="350"/>
      <c r="I50" s="350"/>
      <c r="J50" s="186">
        <v>821.01</v>
      </c>
      <c r="K50" s="186">
        <v>818.97</v>
      </c>
      <c r="L50" s="186">
        <f>IF(A49&lt;&gt;"",J50-K50,"")</f>
        <v>2.0399999999999636</v>
      </c>
      <c r="M50" s="186">
        <f>IF(A49&lt;&gt;"",IF((1.14*((G50*$R$1/1000)^0.482)/(((H49/1000)^1.285)*(I49^0.241)))&lt;0.3,(1.14*((G50*$R$1/1000)^0.482)/(((H49/1000)^1.285)*(I49^0.241))),(1.97107*((G50*$R$1/1000)/(((H49/1000)^(8/3))*(I49^0.5)))+0.19066)),"")</f>
        <v>0.61966061508798731</v>
      </c>
      <c r="N50" s="348"/>
      <c r="O50" s="186">
        <f>IF(A49&lt;&gt;"",76.923*(((H49/4000)*(1-(SIN(2*(-ATAN((1-2*M50)/SQRT(-(1-2*M50)*(1-2*M50)+1))+1.5708)))/(2*(-ATAN((1-2*M50)/SQRT(-(1-2*M50)*(1-2*M50)+1))+1.5708))))^0.167)*SQRT(((H49/4000)*(1-(SIN(2*(-ATAN((1-2*M50)/SQRT(-(1-2*M50)*(1-2*M50)+1))+1.5708)))/(2*(-ATAN((1-2*M50)/SQRT(-(1-2*M50)*(1-2*M50)+1))+1.5708))))*I49),"")</f>
        <v>1.3918639898308416</v>
      </c>
      <c r="P50" s="351"/>
      <c r="Q50" s="348"/>
      <c r="R50" s="341"/>
      <c r="T50" s="416"/>
      <c r="U50" s="422"/>
      <c r="V50" s="186">
        <f t="shared" si="14"/>
        <v>821.01</v>
      </c>
      <c r="W50" s="186">
        <f t="shared" si="15"/>
        <v>818.97</v>
      </c>
      <c r="X50" s="260">
        <f t="shared" si="16"/>
        <v>2.0399999999999636</v>
      </c>
      <c r="Y50" s="270"/>
      <c r="Z50" s="271"/>
      <c r="AA50" s="271"/>
      <c r="AB50" s="271"/>
      <c r="AC50" s="272"/>
      <c r="AD50" s="249"/>
      <c r="AE50" s="275"/>
      <c r="AF50" s="273"/>
      <c r="AG50" s="274"/>
      <c r="AH50" s="270">
        <f t="shared" si="17"/>
        <v>0</v>
      </c>
      <c r="AI50" s="272">
        <f t="shared" si="18"/>
        <v>0</v>
      </c>
    </row>
    <row r="51" spans="1:35" x14ac:dyDescent="0.2">
      <c r="A51" s="334" t="s">
        <v>195</v>
      </c>
      <c r="B51" s="349">
        <v>100.61</v>
      </c>
      <c r="C51" s="183">
        <v>0.5</v>
      </c>
      <c r="D51" s="183">
        <f>IF(A51&lt;&gt;"",(C51/1000)*B51,"")</f>
        <v>5.0305000000000002E-2</v>
      </c>
      <c r="E51" s="183">
        <f t="shared" si="20"/>
        <v>146.61551000000003</v>
      </c>
      <c r="F51" s="183">
        <f t="shared" si="1"/>
        <v>146.66581500000004</v>
      </c>
      <c r="G51" s="183">
        <f t="shared" si="24"/>
        <v>146.66581500000004</v>
      </c>
      <c r="H51" s="350">
        <v>400</v>
      </c>
      <c r="I51" s="341">
        <f>IF(A51&lt;&gt;"",(K51-K52)/B51,"")</f>
        <v>5.9636219063713622E-3</v>
      </c>
      <c r="J51" s="185">
        <v>821.21</v>
      </c>
      <c r="K51" s="185">
        <v>818.97</v>
      </c>
      <c r="L51" s="185">
        <f>IF(A51&lt;&gt;"",J51-K51,"")</f>
        <v>2.2400000000000091</v>
      </c>
      <c r="M51" s="185">
        <f>IF(A51&lt;&gt;"",IF((1.14*((G51*$R$1/1000)^0.482)/(((H51/1000)^1.285)*(I51^0.241)))&lt;0.3,(1.14*((G51*$R$1/1000)^0.482)/(((H51/1000)^1.285)*(I51^0.241))),(1.97107*((G51*$R$1/1000)/(((H51/1000)^(8/3))*(I51^0.5)))+0.19066)),"")</f>
        <v>0.62163219688149884</v>
      </c>
      <c r="N51" s="348">
        <f t="shared" ref="N51" si="67">L52</f>
        <v>1.8600000000000136</v>
      </c>
      <c r="O51" s="185">
        <f>IF(A51&lt;&gt;"",76.923*(((H51/4000)*(1-(SIN(2*(-ATAN((1-2*M51)/SQRT(-(1-2*M51)*(1-2*M51)+1))+1.5708)))/(2*(-ATAN((1-2*M51)/SQRT(-(1-2*M51)*(1-2*M51)+1))+1.5708))))^0.167)*SQRT(((H51/4000)*(1-(SIN(2*(-ATAN((1-2*M51)/SQRT(-(1-2*M51)*(1-2*M51)+1))+1.5708)))/(2*(-ATAN((1-2*M51)/SQRT(-(1-2*M51)*(1-2*M51)+1))+1.5708))))*I51),"")</f>
        <v>1.3873560253018724</v>
      </c>
      <c r="P51" s="351">
        <f>IF(A51&lt;&gt;"",10000*I51*(H51/4000)*(1-(SIN(2*(-ATAN((1-2*M52)/SQRT(-(1-2*M52)*(1-2*M52)+1))+1.5708)))/(2*(-ATAN((1-2*M52)/SQRT(-(1-2*M52)*(1-2*M52)+1))+1.5708))),"")</f>
        <v>6.7390245246809082</v>
      </c>
      <c r="Q51" s="348">
        <f>IF(A51&lt;&gt;"",6*SQRT(9.8*((H51/4000)*(1-(SIN(2*(-ATAN((1-2*M52)/SQRT(-(1-2*M52)*(1-2*M52)+1))+1.5708)))/(2*(-ATAN((1-2*M52)/SQRT(-(1-2*M52)*(1-2*M52)+1))+1.5708))))),"")</f>
        <v>6.3140462095849035</v>
      </c>
      <c r="R51" s="340">
        <f t="shared" ref="R51" si="68">IF(A51&lt;&gt;"",0.0055*(IF(E51&gt;1.5,E51,1.5))^-0.47,"")</f>
        <v>5.2754332132135136E-4</v>
      </c>
      <c r="T51" s="342" t="str">
        <f t="shared" ref="T51:U51" si="69">A51</f>
        <v>40-41</v>
      </c>
      <c r="U51" s="332">
        <f t="shared" si="69"/>
        <v>100.61</v>
      </c>
      <c r="V51" s="189">
        <f t="shared" si="14"/>
        <v>821.21</v>
      </c>
      <c r="W51" s="189">
        <f t="shared" si="15"/>
        <v>818.97</v>
      </c>
      <c r="X51" s="261">
        <f t="shared" si="16"/>
        <v>2.2400000000000091</v>
      </c>
      <c r="Y51" s="245">
        <f>AVERAGE(L51:L52)+SUM($Z$1:$Z$2)</f>
        <v>2.4500000000000113</v>
      </c>
      <c r="Z51" s="226" t="str">
        <f>IF(Y51&lt;=1.5,Y51*B51*$Z$3,"")</f>
        <v/>
      </c>
      <c r="AA51" s="226">
        <f>IF(AND(Y51&gt;1.5,Y51&lt;=3),Y51*B51*$Z$3,"")</f>
        <v>197.19560000000092</v>
      </c>
      <c r="AB51" s="226" t="str">
        <f>IF(AND(Y51&gt;3,Y51&lt;=4.5),Y51*B51*$Z$3,"")</f>
        <v/>
      </c>
      <c r="AC51" s="250" t="str">
        <f>IF(AND(Y51&gt;4.5,Y51&lt;=6),Y51*B51*$Z$3,"")</f>
        <v/>
      </c>
      <c r="AD51" s="254">
        <f>IF(AA51&lt;&gt;"",AVERAGE(L51:L52)*B51*2,"")</f>
        <v>412.50100000000231</v>
      </c>
      <c r="AE51" s="245">
        <f>IF(Y51&lt;&gt;"",1,"")</f>
        <v>1</v>
      </c>
      <c r="AF51" s="227">
        <f>IF(Y51&lt;&gt;"",0.5,"")</f>
        <v>0.5</v>
      </c>
      <c r="AG51" s="246">
        <f>IF(Y51&gt;1.85,Y51-1.85,"")</f>
        <v>0.60000000000001119</v>
      </c>
      <c r="AH51" s="245">
        <f t="shared" si="17"/>
        <v>6.0366</v>
      </c>
      <c r="AI51" s="250">
        <f t="shared" si="18"/>
        <v>18.1098</v>
      </c>
    </row>
    <row r="52" spans="1:35" x14ac:dyDescent="0.2">
      <c r="A52" s="334"/>
      <c r="B52" s="349"/>
      <c r="C52" s="184">
        <v>0.5</v>
      </c>
      <c r="D52" s="184">
        <f>IF(A51&lt;&gt;"",(C52/1000)*B51,"")</f>
        <v>5.0305000000000002E-2</v>
      </c>
      <c r="E52" s="184">
        <f t="shared" si="20"/>
        <v>146.66581500000004</v>
      </c>
      <c r="F52" s="184">
        <f t="shared" si="1"/>
        <v>146.71612000000005</v>
      </c>
      <c r="G52" s="184">
        <f t="shared" si="24"/>
        <v>146.71612000000005</v>
      </c>
      <c r="H52" s="350"/>
      <c r="I52" s="350"/>
      <c r="J52" s="186">
        <v>820.23</v>
      </c>
      <c r="K52" s="186">
        <v>818.37</v>
      </c>
      <c r="L52" s="186">
        <f>IF(A51&lt;&gt;"",J52-K52,"")</f>
        <v>1.8600000000000136</v>
      </c>
      <c r="M52" s="186">
        <f>IF(A51&lt;&gt;"",IF((1.14*((G52*$R$1/1000)^0.482)/(((H51/1000)^1.285)*(I51^0.241)))&lt;0.3,(1.14*((G52*$R$1/1000)^0.482)/(((H51/1000)^1.285)*(I51^0.241))),(1.97107*((G52*$R$1/1000)/(((H51/1000)^(8/3))*(I51^0.5)))+0.19066)),"")</f>
        <v>0.62178001630597834</v>
      </c>
      <c r="N52" s="348"/>
      <c r="O52" s="186">
        <f>IF(A51&lt;&gt;"",76.923*(((H51/4000)*(1-(SIN(2*(-ATAN((1-2*M52)/SQRT(-(1-2*M52)*(1-2*M52)+1))+1.5708)))/(2*(-ATAN((1-2*M52)/SQRT(-(1-2*M52)*(1-2*M52)+1))+1.5708))))^0.167)*SQRT(((H51/4000)*(1-(SIN(2*(-ATAN((1-2*M52)/SQRT(-(1-2*M52)*(1-2*M52)+1))+1.5708)))/(2*(-ATAN((1-2*M52)/SQRT(-(1-2*M52)*(1-2*M52)+1))+1.5708))))*I51),"")</f>
        <v>1.3874592928128138</v>
      </c>
      <c r="P52" s="351"/>
      <c r="Q52" s="348"/>
      <c r="R52" s="341"/>
      <c r="T52" s="416"/>
      <c r="U52" s="422"/>
      <c r="V52" s="186">
        <f t="shared" si="14"/>
        <v>820.23</v>
      </c>
      <c r="W52" s="186">
        <f t="shared" si="15"/>
        <v>818.37</v>
      </c>
      <c r="X52" s="260">
        <f t="shared" si="16"/>
        <v>1.8600000000000136</v>
      </c>
      <c r="Y52" s="247"/>
      <c r="Z52" s="228"/>
      <c r="AA52" s="228"/>
      <c r="AB52" s="228"/>
      <c r="AC52" s="248"/>
      <c r="AD52" s="253"/>
      <c r="AE52" s="243"/>
      <c r="AF52" s="229"/>
      <c r="AG52" s="244"/>
      <c r="AH52" s="247">
        <f t="shared" si="17"/>
        <v>0</v>
      </c>
      <c r="AI52" s="248">
        <f t="shared" si="18"/>
        <v>0</v>
      </c>
    </row>
    <row r="53" spans="1:35" x14ac:dyDescent="0.2">
      <c r="A53" s="334" t="s">
        <v>196</v>
      </c>
      <c r="B53" s="349">
        <v>66.75</v>
      </c>
      <c r="C53" s="183">
        <v>0.5</v>
      </c>
      <c r="D53" s="183">
        <f>IF(A53&lt;&gt;"",(C53/1000)*B53,"")</f>
        <v>3.3375000000000002E-2</v>
      </c>
      <c r="E53" s="183">
        <f t="shared" si="20"/>
        <v>146.71612000000005</v>
      </c>
      <c r="F53" s="183">
        <f t="shared" si="1"/>
        <v>146.74949500000005</v>
      </c>
      <c r="G53" s="183">
        <f t="shared" si="24"/>
        <v>146.74949500000005</v>
      </c>
      <c r="H53" s="350">
        <v>400</v>
      </c>
      <c r="I53" s="341">
        <f>IF(A53&lt;&gt;"",(K53-K54)/B53,"")</f>
        <v>5.9925093632955395E-3</v>
      </c>
      <c r="J53" s="185">
        <v>820.23</v>
      </c>
      <c r="K53" s="185">
        <v>818.37</v>
      </c>
      <c r="L53" s="185">
        <f>IF(A53&lt;&gt;"",J53-K53,"")</f>
        <v>1.8600000000000136</v>
      </c>
      <c r="M53" s="185">
        <f>IF(A53&lt;&gt;"",IF((1.14*((G53*$R$1/1000)^0.482)/(((H53/1000)^1.285)*(I53^0.241)))&lt;0.3,(1.14*((G53*$R$1/1000)^0.482)/(((H53/1000)^1.285)*(I53^0.241))),(1.97107*((G53*$R$1/1000)/(((H53/1000)^(8/3))*(I53^0.5)))+0.19066)),"")</f>
        <v>0.62083746817789542</v>
      </c>
      <c r="N53" s="348">
        <f t="shared" ref="N53" si="70">L54</f>
        <v>1.4499999999999318</v>
      </c>
      <c r="O53" s="185">
        <f>IF(A53&lt;&gt;"",76.923*(((H53/4000)*(1-(SIN(2*(-ATAN((1-2*M53)/SQRT(-(1-2*M53)*(1-2*M53)+1))+1.5708)))/(2*(-ATAN((1-2*M53)/SQRT(-(1-2*M53)*(1-2*M53)+1))+1.5708))))^0.167)*SQRT(((H53/4000)*(1-(SIN(2*(-ATAN((1-2*M53)/SQRT(-(1-2*M53)*(1-2*M53)+1))+1.5708)))/(2*(-ATAN((1-2*M53)/SQRT(-(1-2*M53)*(1-2*M53)+1))+1.5708))))*I53),"")</f>
        <v>1.3901543540207328</v>
      </c>
      <c r="P53" s="351">
        <f>IF(A53&lt;&gt;"",10000*I53*(H53/4000)*(1-(SIN(2*(-ATAN((1-2*M54)/SQRT(-(1-2*M54)*(1-2*M54)+1))+1.5708)))/(2*(-ATAN((1-2*M54)/SQRT(-(1-2*M54)*(1-2*M54)+1))+1.5708))),"")</f>
        <v>6.7673434506900296</v>
      </c>
      <c r="Q53" s="348">
        <f>IF(A53&lt;&gt;"",6*SQRT(9.8*((H53/4000)*(1-(SIN(2*(-ATAN((1-2*M54)/SQRT(-(1-2*M54)*(1-2*M54)+1))+1.5708)))/(2*(-ATAN((1-2*M54)/SQRT(-(1-2*M54)*(1-2*M54)+1))+1.5708))))),"")</f>
        <v>6.312029742041954</v>
      </c>
      <c r="R53" s="340">
        <f t="shared" ref="R53" si="71">IF(A53&lt;&gt;"",0.0055*(IF(E53&gt;1.5,E53,1.5))^-0.47,"")</f>
        <v>5.2737326286033488E-4</v>
      </c>
      <c r="T53" s="342" t="str">
        <f t="shared" ref="T53:U53" si="72">A53</f>
        <v>41-42</v>
      </c>
      <c r="U53" s="332">
        <f t="shared" si="72"/>
        <v>66.75</v>
      </c>
      <c r="V53" s="189">
        <f t="shared" si="14"/>
        <v>820.23</v>
      </c>
      <c r="W53" s="189">
        <f t="shared" si="15"/>
        <v>818.37</v>
      </c>
      <c r="X53" s="261">
        <f t="shared" si="16"/>
        <v>1.8600000000000136</v>
      </c>
      <c r="Y53" s="270">
        <f>AVERAGE(L53:L54)+SUM($Z$1:$Z$2)</f>
        <v>2.0549999999999726</v>
      </c>
      <c r="Z53" s="271" t="str">
        <f>IF(Y53&lt;=1.5,Y53*B53*$Z$3,"")</f>
        <v/>
      </c>
      <c r="AA53" s="271">
        <f>IF(AND(Y53&gt;1.5,Y53&lt;=3),Y53*B53*$Z$3,"")</f>
        <v>109.73699999999855</v>
      </c>
      <c r="AB53" s="271" t="str">
        <f>IF(AND(Y53&gt;3,Y53&lt;=4.5),Y53*B53*$Z$3,"")</f>
        <v/>
      </c>
      <c r="AC53" s="272" t="str">
        <f>IF(AND(Y53&gt;4.5,Y53&lt;=6),Y53*B53*$Z$3,"")</f>
        <v/>
      </c>
      <c r="AD53" s="249">
        <f>IF(AA53&lt;&gt;"",AVERAGE(L53:L54)*B53*2,"")</f>
        <v>220.94249999999636</v>
      </c>
      <c r="AE53" s="270">
        <f>IF(Y53&lt;&gt;"",1,"")</f>
        <v>1</v>
      </c>
      <c r="AF53" s="273">
        <f>IF(Y53&lt;&gt;"",0.5,"")</f>
        <v>0.5</v>
      </c>
      <c r="AG53" s="274">
        <f>IF(Y53&gt;1.85,Y53-1.85,"")</f>
        <v>0.20499999999997254</v>
      </c>
      <c r="AH53" s="270">
        <f t="shared" si="17"/>
        <v>4.0049999999999999</v>
      </c>
      <c r="AI53" s="272">
        <f t="shared" si="18"/>
        <v>12.014999999999999</v>
      </c>
    </row>
    <row r="54" spans="1:35" x14ac:dyDescent="0.2">
      <c r="A54" s="334"/>
      <c r="B54" s="349"/>
      <c r="C54" s="184">
        <v>0.5</v>
      </c>
      <c r="D54" s="184">
        <f>IF(A53&lt;&gt;"",(C54/1000)*B53,"")</f>
        <v>3.3375000000000002E-2</v>
      </c>
      <c r="E54" s="184">
        <f t="shared" si="20"/>
        <v>146.74949500000005</v>
      </c>
      <c r="F54" s="184">
        <f t="shared" si="1"/>
        <v>146.78287000000006</v>
      </c>
      <c r="G54" s="184">
        <f t="shared" si="24"/>
        <v>146.78287000000006</v>
      </c>
      <c r="H54" s="350"/>
      <c r="I54" s="350"/>
      <c r="J54" s="186">
        <v>819.42</v>
      </c>
      <c r="K54" s="186">
        <v>817.97</v>
      </c>
      <c r="L54" s="186">
        <f>IF(A53&lt;&gt;"",J54-K54,"")</f>
        <v>1.4499999999999318</v>
      </c>
      <c r="M54" s="186">
        <f>IF(A53&lt;&gt;"",IF((1.14*((G54*$R$1/1000)^0.482)/(((H53/1000)^1.285)*(I53^0.241)))&lt;0.3,(1.14*((G54*$R$1/1000)^0.482)/(((H53/1000)^1.285)*(I53^0.241))),(1.97107*((G54*$R$1/1000)/(((H53/1000)^(8/3))*(I53^0.5)))+0.19066)),"")</f>
        <v>0.62093530274284869</v>
      </c>
      <c r="N54" s="348"/>
      <c r="O54" s="186">
        <f>IF(A53&lt;&gt;"",76.923*(((H53/4000)*(1-(SIN(2*(-ATAN((1-2*M54)/SQRT(-(1-2*M54)*(1-2*M54)+1))+1.5708)))/(2*(-ATAN((1-2*M54)/SQRT(-(1-2*M54)*(1-2*M54)+1))+1.5708))))^0.167)*SQRT(((H53/4000)*(1-(SIN(2*(-ATAN((1-2*M54)/SQRT(-(1-2*M54)*(1-2*M54)+1))+1.5708)))/(2*(-ATAN((1-2*M54)/SQRT(-(1-2*M54)*(1-2*M54)+1))+1.5708))))*I53),"")</f>
        <v>1.3902231251695707</v>
      </c>
      <c r="P54" s="351"/>
      <c r="Q54" s="348"/>
      <c r="R54" s="341"/>
      <c r="T54" s="416"/>
      <c r="U54" s="422"/>
      <c r="V54" s="186">
        <f t="shared" si="14"/>
        <v>819.42</v>
      </c>
      <c r="W54" s="186">
        <f t="shared" si="15"/>
        <v>817.97</v>
      </c>
      <c r="X54" s="260">
        <f t="shared" si="16"/>
        <v>1.4499999999999318</v>
      </c>
      <c r="Y54" s="270"/>
      <c r="Z54" s="271"/>
      <c r="AA54" s="271"/>
      <c r="AB54" s="271"/>
      <c r="AC54" s="272"/>
      <c r="AD54" s="249"/>
      <c r="AE54" s="275"/>
      <c r="AF54" s="273"/>
      <c r="AG54" s="274"/>
      <c r="AH54" s="270">
        <f t="shared" si="17"/>
        <v>0</v>
      </c>
      <c r="AI54" s="272">
        <f t="shared" si="18"/>
        <v>0</v>
      </c>
    </row>
    <row r="55" spans="1:35" x14ac:dyDescent="0.2">
      <c r="A55" s="334" t="s">
        <v>197</v>
      </c>
      <c r="B55" s="335">
        <v>93.8</v>
      </c>
      <c r="C55" s="183">
        <v>0.5</v>
      </c>
      <c r="D55" s="183">
        <f>IF(A55&lt;&gt;"",(C55/1000)*B55,"")</f>
        <v>4.6899999999999997E-2</v>
      </c>
      <c r="E55" s="183">
        <f t="shared" si="20"/>
        <v>146.78287000000006</v>
      </c>
      <c r="F55" s="183">
        <f t="shared" si="1"/>
        <v>146.82977000000005</v>
      </c>
      <c r="G55" s="183">
        <f t="shared" si="24"/>
        <v>146.82977000000005</v>
      </c>
      <c r="H55" s="336">
        <v>400</v>
      </c>
      <c r="I55" s="337">
        <f>IF(A55&lt;&gt;"",(K55-K56)/B55,"")</f>
        <v>1.9616204690831897E-2</v>
      </c>
      <c r="J55" s="185">
        <v>819.42</v>
      </c>
      <c r="K55" s="185">
        <v>817.97</v>
      </c>
      <c r="L55" s="185">
        <f>IF(A55&lt;&gt;"",J55-K55,"")</f>
        <v>1.4499999999999318</v>
      </c>
      <c r="M55" s="185">
        <f>IF(A55&lt;&gt;"",IF((1.14*((G55*$R$1/1000)^0.482)/(((H55/1000)^1.285)*(I55^0.241)))&lt;0.3,(1.14*((G55*$R$1/1000)^0.482)/(((H55/1000)^1.285)*(I55^0.241))),(1.97107*((G55*$R$1/1000)/(((H55/1000)^(8/3))*(I55^0.5)))+0.19066)),"")</f>
        <v>0.42855320129727537</v>
      </c>
      <c r="N55" s="338">
        <f>L56+0.1</f>
        <v>1.2399999999999864</v>
      </c>
      <c r="O55" s="185">
        <f>IF(A55&lt;&gt;"",76.923*(((H55/4000)*(1-(SIN(2*(-ATAN((1-2*M55)/SQRT(-(1-2*M55)*(1-2*M55)+1))+1.5708)))/(2*(-ATAN((1-2*M55)/SQRT(-(1-2*M55)*(1-2*M55)+1))+1.5708))))^0.167)*SQRT(((H55/4000)*(1-(SIN(2*(-ATAN((1-2*M55)/SQRT(-(1-2*M55)*(1-2*M55)+1))+1.5708)))/(2*(-ATAN((1-2*M55)/SQRT(-(1-2*M55)*(1-2*M55)+1))+1.5708))))*I55),"")</f>
        <v>2.1634181190300588</v>
      </c>
      <c r="P55" s="339">
        <f>IF(A55&lt;&gt;"",10000*I55*(H55/4000)*(1-(SIN(2*(-ATAN((1-2*M56)/SQRT(-(1-2*M56)*(1-2*M56)+1))+1.5708)))/(2*(-ATAN((1-2*M56)/SQRT(-(1-2*M56)*(1-2*M56)+1))+1.5708))),"")</f>
        <v>17.674927633328455</v>
      </c>
      <c r="Q55" s="338">
        <f>IF(A55&lt;&gt;"",6*SQRT(9.8*((H55/4000)*(1-(SIN(2*(-ATAN((1-2*M56)/SQRT(-(1-2*M56)*(1-2*M56)+1))+1.5708)))/(2*(-ATAN((1-2*M56)/SQRT(-(1-2*M56)*(1-2*M56)+1))+1.5708))))),"")</f>
        <v>5.6381369166662694</v>
      </c>
      <c r="R55" s="340">
        <f t="shared" ref="R55" si="73">IF(A55&lt;&gt;"",0.0055*(IF(E55&gt;1.5,E55,1.5))^-0.47,"")</f>
        <v>5.272605316405019E-4</v>
      </c>
      <c r="T55" s="342" t="str">
        <f t="shared" ref="T55:U55" si="74">A55</f>
        <v>42-43</v>
      </c>
      <c r="U55" s="332">
        <f t="shared" si="74"/>
        <v>93.8</v>
      </c>
      <c r="V55" s="189">
        <f t="shared" si="14"/>
        <v>819.42</v>
      </c>
      <c r="W55" s="189">
        <f t="shared" si="15"/>
        <v>817.97</v>
      </c>
      <c r="X55" s="261">
        <f t="shared" si="16"/>
        <v>1.4499999999999318</v>
      </c>
      <c r="Y55" s="245">
        <f>AVERAGE(L55:L56)+SUM($Z$1:$Z$2)</f>
        <v>1.694999999999959</v>
      </c>
      <c r="Z55" s="226" t="str">
        <f>IF(Y55&lt;=1.5,Y55*B55*$Z$3,"")</f>
        <v/>
      </c>
      <c r="AA55" s="226">
        <f>IF(AND(Y55&gt;1.5,Y55&lt;=3),Y55*B55*$Z$3,"")</f>
        <v>127.19279999999692</v>
      </c>
      <c r="AB55" s="226" t="str">
        <f>IF(AND(Y55&gt;3,Y55&lt;=4.5),Y55*B55*$Z$3,"")</f>
        <v/>
      </c>
      <c r="AC55" s="250" t="str">
        <f>IF(AND(Y55&gt;4.5,Y55&lt;=6),Y55*B55*$Z$3,"")</f>
        <v/>
      </c>
      <c r="AD55" s="254">
        <f>IF(AA55&lt;&gt;"",AVERAGE(L55:L56)*B55*2,"")</f>
        <v>242.9419999999923</v>
      </c>
      <c r="AE55" s="245">
        <f>IF(Y55&lt;&gt;"",1,"")</f>
        <v>1</v>
      </c>
      <c r="AF55" s="227">
        <f>IF(Y55&lt;&gt;"",0.5,"")</f>
        <v>0.5</v>
      </c>
      <c r="AG55" s="246" t="str">
        <f>IF(Y55&gt;1.85,Y55-1.85,"")</f>
        <v/>
      </c>
      <c r="AH55" s="245">
        <f t="shared" si="17"/>
        <v>5.6280000000000001</v>
      </c>
      <c r="AI55" s="250">
        <f t="shared" si="18"/>
        <v>16.883999999999997</v>
      </c>
    </row>
    <row r="56" spans="1:35" ht="13.5" thickBot="1" x14ac:dyDescent="0.25">
      <c r="A56" s="334"/>
      <c r="B56" s="335"/>
      <c r="C56" s="184">
        <v>0.5</v>
      </c>
      <c r="D56" s="184">
        <f>IF(A55&lt;&gt;"",(C56/1000)*B55,"")</f>
        <v>4.6899999999999997E-2</v>
      </c>
      <c r="E56" s="184">
        <f t="shared" si="20"/>
        <v>146.82977000000005</v>
      </c>
      <c r="F56" s="184">
        <f t="shared" si="1"/>
        <v>146.87667000000005</v>
      </c>
      <c r="G56" s="184">
        <f t="shared" si="24"/>
        <v>146.87667000000005</v>
      </c>
      <c r="H56" s="336"/>
      <c r="I56" s="336"/>
      <c r="J56" s="186">
        <v>817.27</v>
      </c>
      <c r="K56" s="186">
        <v>816.13</v>
      </c>
      <c r="L56" s="186">
        <f>IF(A55&lt;&gt;"",J56-K56,"")</f>
        <v>1.1399999999999864</v>
      </c>
      <c r="M56" s="186">
        <f>IF(A55&lt;&gt;"",IF((1.14*((G56*$R$1/1000)^0.482)/(((H55/1000)^1.285)*(I55^0.241)))&lt;0.3,(1.14*((G56*$R$1/1000)^0.482)/(((H55/1000)^1.285)*(I55^0.241))),(1.97107*((G56*$R$1/1000)/(((H55/1000)^(8/3))*(I55^0.5)))+0.19066)),"")</f>
        <v>0.42862918855204557</v>
      </c>
      <c r="N56" s="338"/>
      <c r="O56" s="186">
        <f>IF(A55&lt;&gt;"",76.923*(((H55/4000)*(1-(SIN(2*(-ATAN((1-2*M56)/SQRT(-(1-2*M56)*(1-2*M56)+1))+1.5708)))/(2*(-ATAN((1-2*M56)/SQRT(-(1-2*M56)*(1-2*M56)+1))+1.5708))))^0.167)*SQRT(((H55/4000)*(1-(SIN(2*(-ATAN((1-2*M56)/SQRT(-(1-2*M56)*(1-2*M56)+1))+1.5708)))/(2*(-ATAN((1-2*M56)/SQRT(-(1-2*M56)*(1-2*M56)+1))+1.5708))))*I55),"")</f>
        <v>2.1636004332578631</v>
      </c>
      <c r="P56" s="339"/>
      <c r="Q56" s="338"/>
      <c r="R56" s="341"/>
      <c r="T56" s="343"/>
      <c r="U56" s="333"/>
      <c r="V56" s="262">
        <f t="shared" si="14"/>
        <v>817.27</v>
      </c>
      <c r="W56" s="262">
        <f t="shared" si="15"/>
        <v>816.13</v>
      </c>
      <c r="X56" s="263">
        <f t="shared" si="16"/>
        <v>1.1399999999999864</v>
      </c>
      <c r="Y56" s="241"/>
      <c r="Z56" s="257"/>
      <c r="AA56" s="257"/>
      <c r="AB56" s="257"/>
      <c r="AC56" s="242"/>
      <c r="AD56" s="252"/>
      <c r="AE56" s="237"/>
      <c r="AF56" s="238"/>
      <c r="AG56" s="239"/>
      <c r="AH56" s="237"/>
      <c r="AI56" s="239"/>
    </row>
    <row r="57" spans="1:35" x14ac:dyDescent="0.2">
      <c r="A57" s="334" t="s">
        <v>299</v>
      </c>
      <c r="B57" s="335">
        <v>33</v>
      </c>
      <c r="C57" s="183">
        <v>0.5</v>
      </c>
      <c r="D57" s="183">
        <f>IF(A57&lt;&gt;"",(C57/1000)*B57,"")</f>
        <v>1.6500000000000001E-2</v>
      </c>
      <c r="E57" s="183">
        <v>0.2</v>
      </c>
      <c r="F57" s="183">
        <f t="shared" ref="F57:F58" si="75">E57+D57</f>
        <v>0.21650000000000003</v>
      </c>
      <c r="G57" s="183">
        <f t="shared" ref="G57:G58" si="76">IF(F57&lt;1.5,1.5,F57)</f>
        <v>1.5</v>
      </c>
      <c r="H57" s="336">
        <v>150</v>
      </c>
      <c r="I57" s="337">
        <f>IF(A57&lt;&gt;"",(K57-K58)/B57,"")</f>
        <v>9.6969696969694902E-2</v>
      </c>
      <c r="J57" s="185">
        <v>827.4</v>
      </c>
      <c r="K57" s="185">
        <v>826.4</v>
      </c>
      <c r="L57" s="185">
        <f>IF(A57&lt;&gt;"",J57-K57,"")</f>
        <v>1</v>
      </c>
      <c r="M57" s="185">
        <f>IF(A57&lt;&gt;"",IF((1.14*((G57*$R$1/1000)^0.482)/(((H57/1000)^1.285)*(I57^0.241)))&lt;0.3,(1.14*((G57*$R$1/1000)^0.482)/(((H57/1000)^1.285)*(I57^0.241))),(1.97107*((G57*$R$1/1000)/(((H57/1000)^(8/3))*(I57^0.5)))+0.19066)),"")</f>
        <v>0.10832389936765985</v>
      </c>
      <c r="N57" s="338">
        <f>L58+0.1</f>
        <v>1.1499999999999546</v>
      </c>
      <c r="O57" s="185">
        <f>IF(A57&lt;&gt;"",76.923*(((H57/4000)*(1-(SIN(2*(-ATAN((1-2*M57)/SQRT(-(1-2*M57)*(1-2*M57)+1))+1.5708)))/(2*(-ATAN((1-2*M57)/SQRT(-(1-2*M57)*(1-2*M57)+1))+1.5708))))^0.167)*SQRT(((H57/4000)*(1-(SIN(2*(-ATAN((1-2*M57)/SQRT(-(1-2*M57)*(1-2*M57)+1))+1.5708)))/(2*(-ATAN((1-2*M57)/SQRT(-(1-2*M57)*(1-2*M57)+1))+1.5708))))*I57),"")</f>
        <v>1.1306306040424456</v>
      </c>
      <c r="P57" s="339">
        <f>IF(A57&lt;&gt;"",10000*I57*(H57/4000)*(1-(SIN(2*(-ATAN((1-2*M58)/SQRT(-(1-2*M58)*(1-2*M58)+1))+1.5708)))/(2*(-ATAN((1-2*M58)/SQRT(-(1-2*M58)*(1-2*M58)+1))+1.5708))),"")</f>
        <v>9.9666644689345336</v>
      </c>
      <c r="Q57" s="338">
        <f>IF(A57&lt;&gt;"",6*SQRT(9.8*((H57/4000)*(1-(SIN(2*(-ATAN((1-2*M58)/SQRT(-(1-2*M58)*(1-2*M58)+1))+1.5708)))/(2*(-ATAN((1-2*M58)/SQRT(-(1-2*M58)*(1-2*M58)+1))+1.5708))))),"")</f>
        <v>1.904237826640933</v>
      </c>
      <c r="R57" s="340">
        <f t="shared" ref="R57" si="77">IF(A57&lt;&gt;"",0.0055*(IF(E57&gt;1.5,E57,1.5))^-0.47,"")</f>
        <v>4.5456898188060094E-3</v>
      </c>
      <c r="T57" s="342" t="str">
        <f t="shared" ref="T57" si="78">A57</f>
        <v>PV Andre-35</v>
      </c>
      <c r="U57" s="332">
        <f t="shared" ref="U57" si="79">B57</f>
        <v>33</v>
      </c>
      <c r="V57" s="189">
        <f t="shared" ref="V57:V58" si="80">J57</f>
        <v>827.4</v>
      </c>
      <c r="W57" s="189">
        <f t="shared" ref="W57:W58" si="81">K57</f>
        <v>826.4</v>
      </c>
      <c r="X57" s="261">
        <f t="shared" ref="X57:X58" si="82">L57</f>
        <v>1</v>
      </c>
      <c r="Y57" s="245">
        <f>AVERAGE(L57:L58)</f>
        <v>1.0249999999999773</v>
      </c>
      <c r="Z57" s="226">
        <f>IF(Y57&lt;=1.5,Y57*B57*$Z$3,"")</f>
        <v>27.059999999999402</v>
      </c>
      <c r="AA57" s="226" t="str">
        <f>IF(AND(Y57&gt;1.5,Y57&lt;=3),Y57*B57*$Z$3,"")</f>
        <v/>
      </c>
      <c r="AB57" s="226" t="str">
        <f>IF(AND(Y57&gt;3,Y57&lt;=4.5),Y57*B57*$Z$3,"")</f>
        <v/>
      </c>
      <c r="AC57" s="250" t="str">
        <f>IF(AND(Y57&gt;4.5,Y57&lt;=6),Y57*B57*$Z$3,"")</f>
        <v/>
      </c>
      <c r="AD57" s="254" t="str">
        <f>IF(AA57&lt;&gt;"",AVERAGE(L57:L58)*B57*2,"")</f>
        <v/>
      </c>
      <c r="AE57" s="245">
        <f>IF(Y57&lt;&gt;"",1,"")</f>
        <v>1</v>
      </c>
      <c r="AF57" s="227">
        <f>IF(Y57&lt;&gt;"",0.5,"")</f>
        <v>0.5</v>
      </c>
      <c r="AG57" s="246" t="str">
        <f>IF(Y57&gt;1.85,Y57-1.85,"")</f>
        <v/>
      </c>
      <c r="AH57" s="245"/>
      <c r="AI57" s="250"/>
    </row>
    <row r="58" spans="1:35" ht="13.5" thickBot="1" x14ac:dyDescent="0.25">
      <c r="A58" s="334"/>
      <c r="B58" s="335"/>
      <c r="C58" s="184">
        <v>0.5</v>
      </c>
      <c r="D58" s="184">
        <f>IF(A57&lt;&gt;"",(C58/1000)*B57,"")</f>
        <v>1.6500000000000001E-2</v>
      </c>
      <c r="E58" s="184">
        <f t="shared" ref="E58" si="83">F57</f>
        <v>0.21650000000000003</v>
      </c>
      <c r="F58" s="184">
        <f t="shared" si="75"/>
        <v>0.23300000000000004</v>
      </c>
      <c r="G58" s="184">
        <f t="shared" si="76"/>
        <v>1.5</v>
      </c>
      <c r="H58" s="336"/>
      <c r="I58" s="336"/>
      <c r="J58" s="186">
        <v>824.25</v>
      </c>
      <c r="K58" s="186">
        <v>823.2</v>
      </c>
      <c r="L58" s="186">
        <f>IF(A57&lt;&gt;"",J58-K58,"")</f>
        <v>1.0499999999999545</v>
      </c>
      <c r="M58" s="186">
        <f>IF(A57&lt;&gt;"",IF((1.14*((G58*$R$1/1000)^0.482)/(((H57/1000)^1.285)*(I57^0.241)))&lt;0.3,(1.14*((G58*$R$1/1000)^0.482)/(((H57/1000)^1.285)*(I57^0.241))),(1.97107*((G58*$R$1/1000)/(((H57/1000)^(8/3))*(I57^0.5)))+0.19066)),"")</f>
        <v>0.10832389936765985</v>
      </c>
      <c r="N58" s="338"/>
      <c r="O58" s="186">
        <f>IF(A57&lt;&gt;"",76.923*(((H57/4000)*(1-(SIN(2*(-ATAN((1-2*M58)/SQRT(-(1-2*M58)*(1-2*M58)+1))+1.5708)))/(2*(-ATAN((1-2*M58)/SQRT(-(1-2*M58)*(1-2*M58)+1))+1.5708))))^0.167)*SQRT(((H57/4000)*(1-(SIN(2*(-ATAN((1-2*M58)/SQRT(-(1-2*M58)*(1-2*M58)+1))+1.5708)))/(2*(-ATAN((1-2*M58)/SQRT(-(1-2*M58)*(1-2*M58)+1))+1.5708))))*I57),"")</f>
        <v>1.1306306040424456</v>
      </c>
      <c r="P58" s="339"/>
      <c r="Q58" s="338"/>
      <c r="R58" s="341"/>
      <c r="T58" s="343"/>
      <c r="U58" s="333"/>
      <c r="V58" s="262">
        <f t="shared" si="80"/>
        <v>824.25</v>
      </c>
      <c r="W58" s="262">
        <f t="shared" si="81"/>
        <v>823.2</v>
      </c>
      <c r="X58" s="263">
        <f t="shared" si="82"/>
        <v>1.0499999999999545</v>
      </c>
      <c r="Y58" s="241"/>
      <c r="Z58" s="257"/>
      <c r="AA58" s="257"/>
      <c r="AB58" s="257"/>
      <c r="AC58" s="242"/>
      <c r="AD58" s="252"/>
      <c r="AE58" s="237"/>
      <c r="AF58" s="238"/>
      <c r="AG58" s="239"/>
      <c r="AH58" s="237"/>
      <c r="AI58" s="239"/>
    </row>
    <row r="59" spans="1:35" ht="13.5" thickBot="1" x14ac:dyDescent="0.25">
      <c r="A59" s="192"/>
      <c r="B59" s="193">
        <f>SUM(B11:B58)</f>
        <v>1909.6699999999998</v>
      </c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T59" s="255"/>
      <c r="U59" s="255"/>
      <c r="V59" s="255"/>
      <c r="W59" s="255"/>
      <c r="X59" s="255"/>
      <c r="Y59" s="255"/>
      <c r="Z59" s="231">
        <f>SUM(Z15:Z58)</f>
        <v>56.366160000000221</v>
      </c>
      <c r="AA59" s="231">
        <f>SUM(AA15:AA58)</f>
        <v>3177.5064000000079</v>
      </c>
      <c r="AB59" s="231">
        <f t="shared" ref="AB59:AC59" si="84">SUM(AB15:AB56)</f>
        <v>0</v>
      </c>
      <c r="AC59" s="231">
        <f t="shared" si="84"/>
        <v>0</v>
      </c>
      <c r="AD59" s="231">
        <f t="shared" ref="AD59:AI59" si="85">SUM(AD15:AD58)</f>
        <v>6530.6700000000183</v>
      </c>
      <c r="AE59" s="231">
        <f t="shared" si="85"/>
        <v>22</v>
      </c>
      <c r="AF59" s="231">
        <f t="shared" si="85"/>
        <v>11</v>
      </c>
      <c r="AG59" s="231">
        <f t="shared" si="85"/>
        <v>7.7350000000001353</v>
      </c>
      <c r="AH59" s="231">
        <f t="shared" si="85"/>
        <v>107.55780000000003</v>
      </c>
      <c r="AI59" s="231">
        <f t="shared" si="85"/>
        <v>322.6733999999999</v>
      </c>
    </row>
  </sheetData>
  <sheetProtection password="E8B5" sheet="1" formatCells="0" formatColumns="0" formatRows="0" insertColumns="0" insertRows="0" insertHyperlinks="0" deleteColumns="0" deleteRows="0" sort="0" autoFilter="0" pivotTables="0"/>
  <mergeCells count="274">
    <mergeCell ref="U47:U48"/>
    <mergeCell ref="U49:U50"/>
    <mergeCell ref="U51:U52"/>
    <mergeCell ref="U53:U54"/>
    <mergeCell ref="U55:U56"/>
    <mergeCell ref="U11:U12"/>
    <mergeCell ref="T3:X3"/>
    <mergeCell ref="T43:T44"/>
    <mergeCell ref="T45:T46"/>
    <mergeCell ref="T47:T48"/>
    <mergeCell ref="T49:T50"/>
    <mergeCell ref="T51:T52"/>
    <mergeCell ref="T53:T54"/>
    <mergeCell ref="T55:T56"/>
    <mergeCell ref="U4:U6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:T8"/>
    <mergeCell ref="T9:AI10"/>
    <mergeCell ref="T13:AI14"/>
    <mergeCell ref="T11:T12"/>
    <mergeCell ref="T15:T16"/>
    <mergeCell ref="T17:T18"/>
    <mergeCell ref="T19:T20"/>
    <mergeCell ref="T21:T22"/>
    <mergeCell ref="T23:T24"/>
    <mergeCell ref="AH5:AH7"/>
    <mergeCell ref="AI5:AI7"/>
    <mergeCell ref="AH4:AI4"/>
    <mergeCell ref="Y4:AC4"/>
    <mergeCell ref="AE4:AG4"/>
    <mergeCell ref="AE5:AE7"/>
    <mergeCell ref="AG5:AG7"/>
    <mergeCell ref="Y5:Y7"/>
    <mergeCell ref="Z5:Z7"/>
    <mergeCell ref="AA5:AA7"/>
    <mergeCell ref="AB5:AB7"/>
    <mergeCell ref="R17:R18"/>
    <mergeCell ref="AD5:AD7"/>
    <mergeCell ref="R15:R16"/>
    <mergeCell ref="A11:A12"/>
    <mergeCell ref="B11:B12"/>
    <mergeCell ref="H11:H12"/>
    <mergeCell ref="I11:I12"/>
    <mergeCell ref="N11:N12"/>
    <mergeCell ref="P11:P12"/>
    <mergeCell ref="Q11:Q12"/>
    <mergeCell ref="R11:R12"/>
    <mergeCell ref="A13:R14"/>
    <mergeCell ref="R4:R6"/>
    <mergeCell ref="G4:G5"/>
    <mergeCell ref="H4:H6"/>
    <mergeCell ref="I4:I6"/>
    <mergeCell ref="N4:N7"/>
    <mergeCell ref="P4:P6"/>
    <mergeCell ref="Q4:Q6"/>
    <mergeCell ref="A17:A18"/>
    <mergeCell ref="B17:B18"/>
    <mergeCell ref="P17:P18"/>
    <mergeCell ref="Q17:Q18"/>
    <mergeCell ref="H17:H18"/>
    <mergeCell ref="A1:G2"/>
    <mergeCell ref="H1:O1"/>
    <mergeCell ref="P1:Q1"/>
    <mergeCell ref="H2:I2"/>
    <mergeCell ref="J2:O2"/>
    <mergeCell ref="P2:Q2"/>
    <mergeCell ref="A15:A16"/>
    <mergeCell ref="B15:B16"/>
    <mergeCell ref="H15:H16"/>
    <mergeCell ref="I15:I16"/>
    <mergeCell ref="N15:N16"/>
    <mergeCell ref="P15:P16"/>
    <mergeCell ref="Q15:Q16"/>
    <mergeCell ref="A9:R10"/>
    <mergeCell ref="A3:G3"/>
    <mergeCell ref="H3:I3"/>
    <mergeCell ref="J3:O3"/>
    <mergeCell ref="P3:Q3"/>
    <mergeCell ref="A4:A8"/>
    <mergeCell ref="B4:B6"/>
    <mergeCell ref="C4:C5"/>
    <mergeCell ref="D4:D5"/>
    <mergeCell ref="E4:E5"/>
    <mergeCell ref="F4:F5"/>
    <mergeCell ref="R19:R20"/>
    <mergeCell ref="A21:A22"/>
    <mergeCell ref="B21:B22"/>
    <mergeCell ref="H21:H22"/>
    <mergeCell ref="I21:I22"/>
    <mergeCell ref="N21:N22"/>
    <mergeCell ref="P21:P22"/>
    <mergeCell ref="Q21:Q22"/>
    <mergeCell ref="A19:A20"/>
    <mergeCell ref="B19:B20"/>
    <mergeCell ref="H19:H20"/>
    <mergeCell ref="I19:I20"/>
    <mergeCell ref="N19:N20"/>
    <mergeCell ref="P19:P20"/>
    <mergeCell ref="I17:I18"/>
    <mergeCell ref="N17:N18"/>
    <mergeCell ref="A25:A26"/>
    <mergeCell ref="B25:B26"/>
    <mergeCell ref="H25:H26"/>
    <mergeCell ref="I25:I26"/>
    <mergeCell ref="N25:N26"/>
    <mergeCell ref="P25:P26"/>
    <mergeCell ref="Q25:Q26"/>
    <mergeCell ref="Q19:Q20"/>
    <mergeCell ref="R25:R26"/>
    <mergeCell ref="R21:R22"/>
    <mergeCell ref="A23:A24"/>
    <mergeCell ref="B23:B24"/>
    <mergeCell ref="H23:H24"/>
    <mergeCell ref="I23:I24"/>
    <mergeCell ref="N23:N24"/>
    <mergeCell ref="P23:P24"/>
    <mergeCell ref="Q23:Q24"/>
    <mergeCell ref="R23:R24"/>
    <mergeCell ref="Q27:Q28"/>
    <mergeCell ref="R27:R28"/>
    <mergeCell ref="A29:A30"/>
    <mergeCell ref="B29:B30"/>
    <mergeCell ref="H29:H30"/>
    <mergeCell ref="I29:I30"/>
    <mergeCell ref="N29:N30"/>
    <mergeCell ref="P29:P30"/>
    <mergeCell ref="Q29:Q30"/>
    <mergeCell ref="A27:A28"/>
    <mergeCell ref="B27:B28"/>
    <mergeCell ref="H27:H28"/>
    <mergeCell ref="I27:I28"/>
    <mergeCell ref="N27:N28"/>
    <mergeCell ref="P27:P28"/>
    <mergeCell ref="A33:A34"/>
    <mergeCell ref="B33:B34"/>
    <mergeCell ref="H33:H34"/>
    <mergeCell ref="I33:I34"/>
    <mergeCell ref="N33:N34"/>
    <mergeCell ref="P33:P34"/>
    <mergeCell ref="Q33:Q34"/>
    <mergeCell ref="R33:R34"/>
    <mergeCell ref="R29:R30"/>
    <mergeCell ref="A31:A32"/>
    <mergeCell ref="B31:B32"/>
    <mergeCell ref="H31:H32"/>
    <mergeCell ref="I31:I32"/>
    <mergeCell ref="N31:N32"/>
    <mergeCell ref="P31:P32"/>
    <mergeCell ref="Q31:Q32"/>
    <mergeCell ref="R31:R32"/>
    <mergeCell ref="Q35:Q36"/>
    <mergeCell ref="R35:R36"/>
    <mergeCell ref="A37:A38"/>
    <mergeCell ref="B37:B38"/>
    <mergeCell ref="H37:H38"/>
    <mergeCell ref="I37:I38"/>
    <mergeCell ref="N37:N38"/>
    <mergeCell ref="P37:P38"/>
    <mergeCell ref="Q37:Q38"/>
    <mergeCell ref="A35:A36"/>
    <mergeCell ref="B35:B36"/>
    <mergeCell ref="H35:H36"/>
    <mergeCell ref="I35:I36"/>
    <mergeCell ref="N35:N36"/>
    <mergeCell ref="P35:P36"/>
    <mergeCell ref="R37:R38"/>
    <mergeCell ref="A39:A40"/>
    <mergeCell ref="B39:B40"/>
    <mergeCell ref="H39:H40"/>
    <mergeCell ref="I39:I40"/>
    <mergeCell ref="N39:N40"/>
    <mergeCell ref="P39:P40"/>
    <mergeCell ref="Q39:Q40"/>
    <mergeCell ref="R39:R40"/>
    <mergeCell ref="Q45:Q46"/>
    <mergeCell ref="A43:A44"/>
    <mergeCell ref="B43:B44"/>
    <mergeCell ref="H43:H44"/>
    <mergeCell ref="I43:I44"/>
    <mergeCell ref="N43:N44"/>
    <mergeCell ref="P43:P44"/>
    <mergeCell ref="R45:R46"/>
    <mergeCell ref="A41:A42"/>
    <mergeCell ref="B41:B42"/>
    <mergeCell ref="H41:H42"/>
    <mergeCell ref="I41:I42"/>
    <mergeCell ref="N41:N42"/>
    <mergeCell ref="P41:P42"/>
    <mergeCell ref="Q41:Q42"/>
    <mergeCell ref="R41:R42"/>
    <mergeCell ref="P49:P50"/>
    <mergeCell ref="Q49:Q50"/>
    <mergeCell ref="R49:R50"/>
    <mergeCell ref="N53:N54"/>
    <mergeCell ref="P53:P54"/>
    <mergeCell ref="Q53:Q54"/>
    <mergeCell ref="A51:A52"/>
    <mergeCell ref="B51:B52"/>
    <mergeCell ref="H51:H52"/>
    <mergeCell ref="I51:I52"/>
    <mergeCell ref="A47:A48"/>
    <mergeCell ref="B47:B48"/>
    <mergeCell ref="H47:H48"/>
    <mergeCell ref="I47:I48"/>
    <mergeCell ref="N47:N48"/>
    <mergeCell ref="P47:P48"/>
    <mergeCell ref="Q47:Q48"/>
    <mergeCell ref="R47:R48"/>
    <mergeCell ref="Q43:Q44"/>
    <mergeCell ref="R43:R44"/>
    <mergeCell ref="A45:A46"/>
    <mergeCell ref="B45:B46"/>
    <mergeCell ref="H45:H46"/>
    <mergeCell ref="I45:I46"/>
    <mergeCell ref="N45:N46"/>
    <mergeCell ref="P45:P46"/>
    <mergeCell ref="A55:A56"/>
    <mergeCell ref="B55:B56"/>
    <mergeCell ref="H55:H56"/>
    <mergeCell ref="I55:I56"/>
    <mergeCell ref="N55:N56"/>
    <mergeCell ref="P55:P56"/>
    <mergeCell ref="Q55:Q56"/>
    <mergeCell ref="R55:R56"/>
    <mergeCell ref="AF5:AF7"/>
    <mergeCell ref="AC5:AC7"/>
    <mergeCell ref="Q51:Q52"/>
    <mergeCell ref="R51:R52"/>
    <mergeCell ref="A53:A54"/>
    <mergeCell ref="B53:B54"/>
    <mergeCell ref="H53:H54"/>
    <mergeCell ref="I53:I54"/>
    <mergeCell ref="N51:N52"/>
    <mergeCell ref="P51:P52"/>
    <mergeCell ref="R53:R54"/>
    <mergeCell ref="A49:A50"/>
    <mergeCell ref="B49:B50"/>
    <mergeCell ref="H49:H50"/>
    <mergeCell ref="I49:I50"/>
    <mergeCell ref="N49:N50"/>
    <mergeCell ref="U57:U58"/>
    <mergeCell ref="A57:A58"/>
    <mergeCell ref="B57:B58"/>
    <mergeCell ref="H57:H58"/>
    <mergeCell ref="I57:I58"/>
    <mergeCell ref="N57:N58"/>
    <mergeCell ref="P57:P58"/>
    <mergeCell ref="Q57:Q58"/>
    <mergeCell ref="R57:R58"/>
    <mergeCell ref="T57:T58"/>
  </mergeCells>
  <conditionalFormatting sqref="I19:I56">
    <cfRule type="expression" dxfId="16" priority="17">
      <formula>I19&lt;R19</formula>
    </cfRule>
  </conditionalFormatting>
  <conditionalFormatting sqref="M19:M56">
    <cfRule type="expression" dxfId="15" priority="16">
      <formula>M19&gt;0.75</formula>
    </cfRule>
  </conditionalFormatting>
  <conditionalFormatting sqref="P19:P56">
    <cfRule type="expression" dxfId="14" priority="15">
      <formula>P19&lt;1</formula>
    </cfRule>
  </conditionalFormatting>
  <conditionalFormatting sqref="I15:I16">
    <cfRule type="expression" dxfId="13" priority="14">
      <formula>I15&lt;R15</formula>
    </cfRule>
  </conditionalFormatting>
  <conditionalFormatting sqref="M15:M16">
    <cfRule type="expression" dxfId="12" priority="13">
      <formula>M15&gt;0.75</formula>
    </cfRule>
  </conditionalFormatting>
  <conditionalFormatting sqref="P15:P16">
    <cfRule type="expression" dxfId="11" priority="12">
      <formula>AND(P15&lt;1,P15&lt;&gt;"")</formula>
    </cfRule>
  </conditionalFormatting>
  <conditionalFormatting sqref="I11:I12">
    <cfRule type="expression" dxfId="10" priority="11">
      <formula>I11&lt;R11</formula>
    </cfRule>
  </conditionalFormatting>
  <conditionalFormatting sqref="M11:M12">
    <cfRule type="expression" dxfId="9" priority="10">
      <formula>AND(M11&gt;0.75,M11&lt;&gt;"")</formula>
    </cfRule>
  </conditionalFormatting>
  <conditionalFormatting sqref="P11:P12">
    <cfRule type="expression" dxfId="8" priority="9">
      <formula>P11&lt;1</formula>
    </cfRule>
  </conditionalFormatting>
  <conditionalFormatting sqref="I17:I18">
    <cfRule type="expression" dxfId="7" priority="8">
      <formula>I17&lt;R17</formula>
    </cfRule>
  </conditionalFormatting>
  <conditionalFormatting sqref="M17:M18">
    <cfRule type="expression" dxfId="6" priority="7">
      <formula>M17&gt;0.75</formula>
    </cfRule>
  </conditionalFormatting>
  <conditionalFormatting sqref="P17:P18">
    <cfRule type="expression" dxfId="5" priority="6">
      <formula>AND(P17&lt;1,P17&lt;&gt;"")</formula>
    </cfRule>
  </conditionalFormatting>
  <conditionalFormatting sqref="O15:O56 O11:O12">
    <cfRule type="expression" dxfId="4" priority="5">
      <formula>O11&gt;5</formula>
    </cfRule>
  </conditionalFormatting>
  <conditionalFormatting sqref="I57:I58">
    <cfRule type="expression" dxfId="3" priority="4">
      <formula>I57&lt;R57</formula>
    </cfRule>
  </conditionalFormatting>
  <conditionalFormatting sqref="M57:M58">
    <cfRule type="expression" dxfId="2" priority="3">
      <formula>M57&gt;0.75</formula>
    </cfRule>
  </conditionalFormatting>
  <conditionalFormatting sqref="P57:P58">
    <cfRule type="expression" dxfId="1" priority="2">
      <formula>P57&lt;1</formula>
    </cfRule>
  </conditionalFormatting>
  <conditionalFormatting sqref="O57:O58">
    <cfRule type="expression" dxfId="0" priority="1">
      <formula>O57&gt;5</formula>
    </cfRule>
  </conditionalFormatting>
  <pageMargins left="0.39370078740157483" right="0.39370078740157483" top="1.1811023622047245" bottom="0.78740157480314965" header="0.31496062992125984" footer="0.31496062992125984"/>
  <pageSetup paperSize="9" scale="61" fitToHeight="0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18"/>
  <sheetViews>
    <sheetView showGridLines="0" view="pageBreakPreview" topLeftCell="A10" zoomScaleNormal="100" zoomScaleSheetLayoutView="100" workbookViewId="0">
      <selection activeCell="H15" sqref="H15"/>
    </sheetView>
  </sheetViews>
  <sheetFormatPr defaultRowHeight="12.75" outlineLevelCol="1" x14ac:dyDescent="0.2"/>
  <cols>
    <col min="1" max="1" width="7.42578125" bestFit="1" customWidth="1"/>
    <col min="2" max="2" width="44.42578125" customWidth="1"/>
    <col min="3" max="3" width="5.28515625" customWidth="1"/>
    <col min="4" max="4" width="33.5703125" customWidth="1"/>
    <col min="5" max="5" width="14.28515625" style="162" customWidth="1" outlineLevel="1"/>
    <col min="6" max="6" width="33.5703125" customWidth="1"/>
    <col min="7" max="7" width="14.28515625" style="162" customWidth="1" outlineLevel="1"/>
    <col min="8" max="8" width="33.5703125" customWidth="1"/>
    <col min="9" max="9" width="13.140625" style="162" customWidth="1" outlineLevel="1"/>
    <col min="10" max="10" width="15.85546875" customWidth="1"/>
    <col min="11" max="11" width="4.28515625" customWidth="1"/>
    <col min="12" max="12" width="18.7109375" customWidth="1"/>
    <col min="13" max="13" width="18.85546875" style="160" hidden="1" customWidth="1"/>
    <col min="14" max="17" width="42.5703125" customWidth="1"/>
    <col min="18" max="18" width="16.140625" customWidth="1"/>
  </cols>
  <sheetData>
    <row r="1" spans="1:13" s="133" customFormat="1" ht="86.25" customHeight="1" thickBot="1" x14ac:dyDescent="0.35">
      <c r="A1" s="279" t="s">
        <v>91</v>
      </c>
      <c r="B1" s="279"/>
      <c r="C1" s="279"/>
      <c r="D1" s="279"/>
      <c r="E1" s="279"/>
      <c r="F1" s="279"/>
      <c r="G1" s="279"/>
      <c r="H1" s="279"/>
      <c r="I1" s="279"/>
      <c r="J1" s="279"/>
      <c r="K1" s="132"/>
      <c r="M1" s="134"/>
    </row>
    <row r="2" spans="1:13" s="133" customFormat="1" ht="14.25" x14ac:dyDescent="0.2">
      <c r="A2" s="129"/>
      <c r="B2" s="129"/>
      <c r="C2" s="27"/>
      <c r="D2" s="27"/>
      <c r="E2" s="27"/>
      <c r="F2" s="27"/>
      <c r="G2" s="27"/>
      <c r="H2" s="27"/>
      <c r="I2" s="27"/>
      <c r="J2" s="27"/>
      <c r="K2" s="27"/>
      <c r="M2" s="134"/>
    </row>
    <row r="3" spans="1:13" s="133" customFormat="1" ht="15" x14ac:dyDescent="0.2">
      <c r="A3" s="282" t="s">
        <v>106</v>
      </c>
      <c r="B3" s="282"/>
      <c r="C3" s="282"/>
      <c r="D3" s="282"/>
      <c r="E3" s="282"/>
      <c r="F3" s="282"/>
      <c r="G3" s="282"/>
      <c r="H3" s="282"/>
      <c r="I3" s="282"/>
      <c r="J3" s="282"/>
      <c r="K3" s="27"/>
      <c r="L3" s="135" t="s">
        <v>96</v>
      </c>
      <c r="M3" s="134"/>
    </row>
    <row r="4" spans="1:13" s="133" customFormat="1" ht="15" x14ac:dyDescent="0.2">
      <c r="A4" s="282"/>
      <c r="B4" s="282"/>
      <c r="C4" s="282"/>
      <c r="D4" s="282"/>
      <c r="E4" s="282"/>
      <c r="F4" s="282"/>
      <c r="G4" s="282"/>
      <c r="H4" s="282"/>
      <c r="I4" s="27"/>
      <c r="J4" s="27"/>
      <c r="K4" s="27"/>
      <c r="L4" s="138" t="s">
        <v>98</v>
      </c>
      <c r="M4" s="134" t="b">
        <v>0</v>
      </c>
    </row>
    <row r="5" spans="1:13" s="133" customFormat="1" ht="15" x14ac:dyDescent="0.2">
      <c r="A5" s="282" t="s">
        <v>107</v>
      </c>
      <c r="B5" s="282"/>
      <c r="C5" s="282"/>
      <c r="D5" s="282"/>
      <c r="E5" s="282"/>
      <c r="F5" s="282"/>
      <c r="G5" s="282"/>
      <c r="H5" s="282"/>
      <c r="I5" s="282"/>
      <c r="J5" s="282"/>
      <c r="K5" s="27"/>
      <c r="L5" s="138" t="s">
        <v>99</v>
      </c>
      <c r="M5" s="134" t="b">
        <v>1</v>
      </c>
    </row>
    <row r="6" spans="1:13" s="133" customFormat="1" ht="14.25" x14ac:dyDescent="0.2">
      <c r="A6" s="283" t="s">
        <v>90</v>
      </c>
      <c r="B6" s="283"/>
      <c r="C6" s="283"/>
      <c r="D6" s="283"/>
      <c r="E6" s="283"/>
      <c r="F6" s="283"/>
      <c r="G6" s="283"/>
      <c r="H6" s="283"/>
      <c r="I6" s="283"/>
      <c r="J6" s="283"/>
      <c r="K6" s="27"/>
      <c r="L6" s="138"/>
      <c r="M6" s="142">
        <f>IF(AND(M4=FALSE,M5=FALSE),"SELECIONE UMA OPÇÃO",IF(AND(M4=TRUE,M5=TRUE),"SELECIONE APENAS UMA OPÇÃO",IF(M4=TRUE,1,2)))</f>
        <v>2</v>
      </c>
    </row>
    <row r="7" spans="1:13" s="133" customFormat="1" ht="14.25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27"/>
      <c r="L7" s="138"/>
    </row>
    <row r="8" spans="1:13" s="133" customFormat="1" ht="15" customHeight="1" x14ac:dyDescent="0.2">
      <c r="A8" s="29" t="s">
        <v>60</v>
      </c>
      <c r="B8" s="30"/>
      <c r="C8" s="31"/>
      <c r="I8" s="136"/>
      <c r="J8" s="32" t="s">
        <v>43</v>
      </c>
      <c r="K8" s="31"/>
    </row>
    <row r="9" spans="1:13" s="133" customFormat="1" ht="12.75" customHeight="1" x14ac:dyDescent="0.2">
      <c r="A9" s="127" t="str">
        <f>'ANEXO II - Orçamento'!A9:E9</f>
        <v>CONSTRUÇÃO DO COLETOR DE ESGOTO PORTO ROYALE</v>
      </c>
      <c r="B9" s="128"/>
      <c r="C9" s="128"/>
      <c r="D9" s="128"/>
      <c r="E9" s="130"/>
      <c r="F9" s="130"/>
      <c r="G9" s="130"/>
      <c r="H9" s="130"/>
      <c r="I9" s="130"/>
      <c r="J9" s="34">
        <f>'ANEXO II - Orçamento'!J12</f>
        <v>46023</v>
      </c>
      <c r="K9" s="139"/>
    </row>
    <row r="10" spans="1:13" s="133" customFormat="1" ht="6" customHeight="1" x14ac:dyDescent="0.2">
      <c r="A10" s="166"/>
      <c r="B10" s="137"/>
      <c r="C10" s="137"/>
      <c r="D10" s="137"/>
      <c r="E10" s="137"/>
      <c r="I10" s="165"/>
      <c r="J10" s="139"/>
      <c r="K10" s="139"/>
    </row>
    <row r="11" spans="1:13" s="133" customFormat="1" ht="12.75" customHeight="1" x14ac:dyDescent="0.2">
      <c r="A11" s="29" t="s">
        <v>97</v>
      </c>
      <c r="B11" s="137"/>
      <c r="C11" s="31"/>
      <c r="I11" s="136"/>
      <c r="J11" s="32" t="s">
        <v>42</v>
      </c>
      <c r="K11" s="139"/>
    </row>
    <row r="12" spans="1:13" s="133" customFormat="1" ht="12.75" customHeight="1" x14ac:dyDescent="0.2">
      <c r="A12" s="127" t="str">
        <f>'ANEXO II - Orçamento'!A12</f>
        <v>MARGEM DIREITA DO CÓRREGO SANTA MARIA DO LEME, SÃO CARLOS/SP, ENTRE OS KM 239+143M E KM 237+494M DA RODOVIA WASHINGTON LUIS (SP-310)</v>
      </c>
      <c r="B12" s="130"/>
      <c r="C12" s="130"/>
      <c r="D12" s="130"/>
      <c r="E12" s="130"/>
      <c r="F12" s="130"/>
      <c r="G12" s="130"/>
      <c r="H12" s="130"/>
      <c r="I12" s="130"/>
      <c r="J12" s="33" t="str">
        <f>'ANEXO II - Orçamento'!K12</f>
        <v>00</v>
      </c>
      <c r="K12" s="139"/>
      <c r="L12" s="138"/>
      <c r="M12" s="134"/>
    </row>
    <row r="13" spans="1:13" s="133" customFormat="1" ht="15" customHeight="1" x14ac:dyDescent="0.2">
      <c r="A13" s="31"/>
      <c r="B13" s="31"/>
      <c r="C13" s="31"/>
      <c r="D13" s="31"/>
      <c r="E13" s="140"/>
      <c r="F13" s="31"/>
      <c r="G13" s="140"/>
      <c r="H13" s="31"/>
      <c r="I13" s="140"/>
      <c r="J13" s="31"/>
      <c r="K13" s="31"/>
      <c r="L13" s="141"/>
    </row>
    <row r="14" spans="1:13" s="133" customFormat="1" ht="60" customHeight="1" x14ac:dyDescent="0.2">
      <c r="A14" s="122" t="s">
        <v>1</v>
      </c>
      <c r="B14" s="122" t="s">
        <v>2</v>
      </c>
      <c r="C14" s="122" t="s">
        <v>6</v>
      </c>
      <c r="D14" s="143" t="s">
        <v>100</v>
      </c>
      <c r="E14" s="144" t="s">
        <v>101</v>
      </c>
      <c r="F14" s="143" t="s">
        <v>102</v>
      </c>
      <c r="G14" s="144" t="s">
        <v>101</v>
      </c>
      <c r="H14" s="143" t="s">
        <v>103</v>
      </c>
      <c r="I14" s="144" t="s">
        <v>101</v>
      </c>
      <c r="J14" s="123" t="s">
        <v>104</v>
      </c>
      <c r="K14" s="145"/>
      <c r="L14" s="146"/>
      <c r="M14" s="134"/>
    </row>
    <row r="15" spans="1:13" s="133" customFormat="1" ht="102" x14ac:dyDescent="0.2">
      <c r="A15" s="169" t="s">
        <v>111</v>
      </c>
      <c r="B15" s="163" t="s">
        <v>110</v>
      </c>
      <c r="C15" s="169" t="s">
        <v>36</v>
      </c>
      <c r="D15" s="168" t="s">
        <v>109</v>
      </c>
      <c r="E15" s="172">
        <f>18925</f>
        <v>18925</v>
      </c>
      <c r="F15" s="171" t="s">
        <v>113</v>
      </c>
      <c r="G15" s="167">
        <f>15552+28356</f>
        <v>43908</v>
      </c>
      <c r="H15" s="170"/>
      <c r="I15" s="167"/>
      <c r="J15" s="150">
        <f>IFERROR(IF($M$6=1,AVERAGE(E15,G15,I15),IF($M$6=2,MEDIAN(E15,G15,I15))),0)</f>
        <v>31416.5</v>
      </c>
      <c r="K15" s="145"/>
      <c r="L15" s="146"/>
      <c r="M15" s="134"/>
    </row>
    <row r="16" spans="1:13" s="133" customFormat="1" ht="102" x14ac:dyDescent="0.2">
      <c r="A16" s="169" t="s">
        <v>112</v>
      </c>
      <c r="B16" s="163" t="s">
        <v>108</v>
      </c>
      <c r="C16" s="169" t="s">
        <v>36</v>
      </c>
      <c r="D16" s="168" t="s">
        <v>109</v>
      </c>
      <c r="E16" s="172">
        <f>11925</f>
        <v>11925</v>
      </c>
      <c r="F16" s="171" t="s">
        <v>113</v>
      </c>
      <c r="G16" s="167">
        <f>10319+12780</f>
        <v>23099</v>
      </c>
      <c r="H16" s="170"/>
      <c r="I16" s="167"/>
      <c r="J16" s="150">
        <f>IFERROR(IF($M$6=1,AVERAGE(E16,G16,I16),IF($M$6=2,MEDIAN(E16,G16,I16))),0)</f>
        <v>17512</v>
      </c>
      <c r="K16" s="145"/>
      <c r="L16" s="146"/>
      <c r="M16" s="134"/>
    </row>
    <row r="17" spans="1:13" s="152" customFormat="1" ht="15" x14ac:dyDescent="0.2">
      <c r="A17" s="147"/>
      <c r="B17" s="164"/>
      <c r="C17" s="148"/>
      <c r="D17" s="149"/>
      <c r="E17" s="167"/>
      <c r="F17" s="149"/>
      <c r="G17" s="167"/>
      <c r="H17" s="149"/>
      <c r="I17" s="167"/>
      <c r="J17" s="150"/>
      <c r="K17" s="151"/>
      <c r="M17" s="153"/>
    </row>
    <row r="18" spans="1:13" x14ac:dyDescent="0.2">
      <c r="A18" s="154" t="s">
        <v>105</v>
      </c>
      <c r="B18" s="155"/>
      <c r="C18" s="156"/>
      <c r="D18" s="156"/>
      <c r="E18" s="157"/>
      <c r="F18" s="158"/>
      <c r="G18" s="157"/>
      <c r="H18" s="158"/>
      <c r="I18" s="157"/>
      <c r="J18" s="156"/>
      <c r="K18" s="159"/>
    </row>
    <row r="19" spans="1:13" x14ac:dyDescent="0.2">
      <c r="A19" s="424" t="str">
        <f>'ANEXO II - Orçamento'!A68:K68</f>
        <v>São Carlos, 09 de fevereiro de 2026.</v>
      </c>
      <c r="B19" s="424"/>
      <c r="C19" s="424"/>
      <c r="D19" s="424"/>
      <c r="E19" s="424"/>
      <c r="F19" s="424"/>
      <c r="G19" s="424"/>
      <c r="H19" s="424"/>
      <c r="I19" s="424"/>
      <c r="J19" s="424"/>
      <c r="K19" s="159"/>
    </row>
    <row r="49" spans="5:5" x14ac:dyDescent="0.2">
      <c r="E49" s="161"/>
    </row>
    <row r="118" spans="9:9" x14ac:dyDescent="0.2">
      <c r="I118" s="162">
        <f>SUM(I18:I116)/2</f>
        <v>0</v>
      </c>
    </row>
  </sheetData>
  <mergeCells count="6">
    <mergeCell ref="A1:J1"/>
    <mergeCell ref="A19:J19"/>
    <mergeCell ref="A4:H4"/>
    <mergeCell ref="A3:J3"/>
    <mergeCell ref="A5:J5"/>
    <mergeCell ref="A6:J6"/>
  </mergeCells>
  <pageMargins left="0.51181102362204722" right="0.51181102362204722" top="0.78740157480314965" bottom="0.39370078740157483" header="0.31496062992125984" footer="0.31496062992125984"/>
  <pageSetup paperSize="9" scale="64" fitToHeight="0" orientation="landscape" r:id="rId1"/>
  <headerFooter>
    <oddHeader>&amp;A</oddHeader>
    <oddFooter>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MÉDIA">
                <anchor moveWithCells="1">
                  <from>
                    <xdr:col>11</xdr:col>
                    <xdr:colOff>123825</xdr:colOff>
                    <xdr:row>2</xdr:row>
                    <xdr:rowOff>142875</xdr:rowOff>
                  </from>
                  <to>
                    <xdr:col>11</xdr:col>
                    <xdr:colOff>1228725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 altText="MÉDIA">
                <anchor moveWithCells="1">
                  <from>
                    <xdr:col>11</xdr:col>
                    <xdr:colOff>123825</xdr:colOff>
                    <xdr:row>3</xdr:row>
                    <xdr:rowOff>171450</xdr:rowOff>
                  </from>
                  <to>
                    <xdr:col>11</xdr:col>
                    <xdr:colOff>1228725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16</vt:i4>
      </vt:variant>
    </vt:vector>
  </HeadingPairs>
  <TitlesOfParts>
    <vt:vector size="22" baseType="lpstr">
      <vt:lpstr>DADOS</vt:lpstr>
      <vt:lpstr>ANEXO II - Orçamento</vt:lpstr>
      <vt:lpstr>ANEXO II-B - BDI</vt:lpstr>
      <vt:lpstr>ANEXO II-A - CFF</vt:lpstr>
      <vt:lpstr>ANEXO VI-A - Mem. complementar</vt:lpstr>
      <vt:lpstr>ANEXO II-B.2</vt:lpstr>
      <vt:lpstr>AC</vt:lpstr>
      <vt:lpstr>'ANEXO II - Orçamento'!Area_de_impressao</vt:lpstr>
      <vt:lpstr>'ANEXO II-A - CFF'!Area_de_impressao</vt:lpstr>
      <vt:lpstr>'ANEXO II-B - BDI'!Area_de_impressao</vt:lpstr>
      <vt:lpstr>'ANEXO II-B.2'!Area_de_impressao</vt:lpstr>
      <vt:lpstr>'ANEXO VI-A - Mem. complementar'!Area_de_impressao</vt:lpstr>
      <vt:lpstr>DF</vt:lpstr>
      <vt:lpstr>LUCRO</vt:lpstr>
      <vt:lpstr>PO</vt:lpstr>
      <vt:lpstr>RISCO</vt:lpstr>
      <vt:lpstr>SG</vt:lpstr>
      <vt:lpstr>TIP_OBRA</vt:lpstr>
      <vt:lpstr>'ANEXO II - Orçamento'!Titulos_de_impressao</vt:lpstr>
      <vt:lpstr>'ANEXO II-B.2'!Titulos_de_impressao</vt:lpstr>
      <vt:lpstr>'ANEXO VI-A - Mem. complementar'!Titulos_de_impressao</vt:lpstr>
      <vt:lpstr>VALOR_BDI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gpp009</cp:lastModifiedBy>
  <cp:revision>4</cp:revision>
  <cp:lastPrinted>2025-08-07T18:24:43Z</cp:lastPrinted>
  <dcterms:created xsi:type="dcterms:W3CDTF">2009-09-26T22:55:12Z</dcterms:created>
  <dcterms:modified xsi:type="dcterms:W3CDTF">2026-02-24T11:53:45Z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